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3150" windowWidth="22515" windowHeight="13005" firstSheet="2" activeTab="3"/>
  </bookViews>
  <sheets>
    <sheet name="Données ménage type" sheetId="1" state="hidden" r:id="rId1"/>
    <sheet name="Données prix Bassins" sheetId="2" state="hidden" r:id="rId2"/>
    <sheet name="Calculs taxes introductions" sheetId="3" r:id="rId3"/>
    <sheet name="Calculs taxes annuelles P" sheetId="4" r:id="rId4"/>
    <sheet name="Calculs taxes annuelles L" sheetId="5" state="hidden" r:id="rId5"/>
    <sheet name="Monsieur prix comparatif P" sheetId="6" r:id="rId6"/>
    <sheet name="Monsieur prix comparatif L" sheetId="7" state="hidden" r:id="rId7"/>
    <sheet name="Graph, approvisionnement eau P" sheetId="8" r:id="rId8"/>
    <sheet name="Graph, approvisionnement eau L" sheetId="9" state="hidden" r:id="rId9"/>
    <sheet name="Graph, élimination déchets P" sheetId="10" r:id="rId10"/>
    <sheet name="Graph, élimination déchets L" sheetId="11" state="hidden" r:id="rId11"/>
    <sheet name="Graph, eaux usées P" sheetId="12" r:id="rId12"/>
    <sheet name="Graph, eaux usées L" sheetId="13" state="hidden" r:id="rId13"/>
  </sheets>
  <definedNames>
    <definedName name="_xlfn.IFERROR" hidden="1">#NAME?</definedName>
    <definedName name="Consommation_annuelle_d_eau_potable" localSheetId="4">'Calculs taxes annuelles L'!$C$11</definedName>
    <definedName name="Consommation_annuelle_d_eau_potable">'Calculs taxes annuelles P'!$C$8</definedName>
    <definedName name="Consommation_annuelle_d_eau_potable__m3" localSheetId="4">'Calculs taxes annuelles L'!$C$11</definedName>
    <definedName name="Consommation_annuelle_d_eau_potable__m3">'Calculs taxes annuelles P'!$C$8</definedName>
    <definedName name="Consommation_annuelle_d_eau_potable_par_menage">'Calculs taxes annuelles L'!$C$13</definedName>
    <definedName name="Consommation_annuelle_d_eau_potable_par_personne">'Calculs taxes annuelles L'!$C$13</definedName>
    <definedName name="La_consomation_annuelle_du_votre_ménage_et_de">'Calculs taxes annuelles L'!$C$13</definedName>
    <definedName name="Nbre_d_appartements_dans_votre_imeuble_maison" localSheetId="4">'Calculs taxes annuelles L'!$C$15</definedName>
    <definedName name="Nbre_d_appartements_dans_votre_imeuble_maison">'Calculs taxes annuelles P'!$C$12</definedName>
    <definedName name="Nombre_d_adultes_dans_votre_immeuble_maison" localSheetId="4">'Calculs taxes annuelles L'!#REF!</definedName>
    <definedName name="Nombre_d_adultes_dans_votre_immeuble_maison">'Calculs taxes annuelles P'!$C$14</definedName>
    <definedName name="Nombre_d_adultes_dans_votre_ménage" localSheetId="4">'Calculs taxes annuelles L'!$C$8</definedName>
    <definedName name="Nombre_d_adultes_dans_votre_ménage">'Calculs taxes annuelles P'!$C$29</definedName>
    <definedName name="Nombre_d_enfants_dans_votre_immeuble_maison" localSheetId="4">'Calculs taxes annuelles L'!#REF!</definedName>
    <definedName name="Nombre_d_enfants_dans_votre_immeuble_maison">'Calculs taxes annuelles P'!$C$15</definedName>
    <definedName name="Nombre_d_enfants_dans_votre_ménage" localSheetId="4">'Calculs taxes annuelles L'!$C$9</definedName>
    <definedName name="Nombre_d_enfants_dans_votre_ménage">'Calculs taxes annuelles P'!$C$30</definedName>
    <definedName name="Nombre_de_sac_35l" localSheetId="4">'Calculs taxes annuelles L'!$C$26</definedName>
    <definedName name="Nombre_de_sac_35l">'Calculs taxes annuelles P'!$C$25</definedName>
    <definedName name="Quantité_d_encombrants__inertes__bois__déchets_verts__ferraille" localSheetId="4">'Calculs taxes annuelles L'!$C$28</definedName>
    <definedName name="Quantité_d_encombrants__inertes__bois__déchets_verts__ferraille">'Calculs taxes annuelles P'!$C$27</definedName>
    <definedName name="Quantité_d_ordures_ménagères" localSheetId="4">'Calculs taxes annuelles L'!$C$25</definedName>
    <definedName name="Quantité_d_ordures_ménagères">'Calculs taxes annuelles P'!$C$24</definedName>
    <definedName name="Sous_compteur" localSheetId="4">'Calculs taxes annuelles L'!#REF!</definedName>
    <definedName name="Sous_compteur">'Calculs taxes annuelles P'!$C$10</definedName>
    <definedName name="Surface_brut_de_plancher__SBP">'Calculs taxes introductions'!$C$6</definedName>
    <definedName name="Surface_construite___du_bâtiment" localSheetId="2">'Calculs taxes introductions'!$C$10</definedName>
    <definedName name="Surface_construite_au_sol_du_bâtiment">'Calculs taxes introductions'!$C$10</definedName>
    <definedName name="Surface_habitable_SBPu" localSheetId="4">'Calculs taxes annuelles L'!$C$20</definedName>
    <definedName name="Surface_habitable_SBPu">'Calculs taxes annuelles P'!$C$19</definedName>
    <definedName name="Surface_imperméabilisée_de_votre_habitation" localSheetId="4">'Calculs taxes annuelles L'!$C$18</definedName>
    <definedName name="Surface_imperméabilisée_de_votre_habitation">'Calculs taxes annuelles P'!$C$17</definedName>
    <definedName name="Surface_imperméabilisée_de_votre_habitation__Simp">'Calculs taxes introductions'!$C$8</definedName>
    <definedName name="Valeur_du_bâtiment_ECA" localSheetId="2">'Calculs taxes introductions'!$C$12</definedName>
    <definedName name="valeur_minimum_selon_règlement_2020" localSheetId="3">'Calculs taxes annuelles P'!$C$20</definedName>
  </definedNames>
  <calcPr fullCalcOnLoad="1"/>
</workbook>
</file>

<file path=xl/sharedStrings.xml><?xml version="1.0" encoding="utf-8"?>
<sst xmlns="http://schemas.openxmlformats.org/spreadsheetml/2006/main" count="453" uniqueCount="247">
  <si>
    <t>(HHT3/4)</t>
  </si>
  <si>
    <t>Caractéristiques du logement, du ménage</t>
  </si>
  <si>
    <t>Caractéristiques du bâtiment, de l’immeuble</t>
  </si>
  <si>
    <t>(HHT 1/2)</t>
  </si>
  <si>
    <t xml:space="preserve">Type de ménage 3/4 </t>
  </si>
  <si>
    <t xml:space="preserve"> Type de ménage 1/2</t>
  </si>
  <si>
    <t xml:space="preserve">Type de ménage 4/6 </t>
  </si>
  <si>
    <t>Surface au sol totale [m2]</t>
  </si>
  <si>
    <t>Source :</t>
  </si>
  <si>
    <t>http://www.preisvergleiche.preisueberwacher.admin.ch/resource/pdf/Types%20de%20m%C3%A9nage.pdf</t>
  </si>
  <si>
    <t>Surface habitable [m2]**</t>
  </si>
  <si>
    <t>Nombre de personnes dans le ménage [#]**</t>
  </si>
  <si>
    <t>Nombre de pièces [#]**</t>
  </si>
  <si>
    <t>Surface brute utilisable / SBU [m2]*</t>
  </si>
  <si>
    <t>Valeur assurée du logement [Frs]*</t>
  </si>
  <si>
    <t>Valeure fiscale du logement [Frs]</t>
  </si>
  <si>
    <t>Unités de raccordement [#]*</t>
  </si>
  <si>
    <t>Nombre de sacs poubelle de 35 I [#/an]*</t>
  </si>
  <si>
    <t>Masse des déchets [kg/an]**</t>
  </si>
  <si>
    <t>Consommation d'eau [m3/an]**</t>
  </si>
  <si>
    <t>Etages [#]*</t>
  </si>
  <si>
    <t>Total des surfaces habitables [m2] *</t>
  </si>
  <si>
    <t>Valeur assurée par immeuble [Frs]*</t>
  </si>
  <si>
    <t>Surface de la parcelle [m2]*</t>
  </si>
  <si>
    <t>Volume SIA [m3]</t>
  </si>
  <si>
    <t>Les caractéristiques suivies d’une seule astérisque (*) ont été définies par la Surveillance des prix alors que celles suivies de deux astérisques (**) sont des valeurs provenant de l’OFS.</t>
  </si>
  <si>
    <t>(HHT 4/6)</t>
  </si>
  <si>
    <t>Ménage d'une personne vivant dans un 2 pièces</t>
  </si>
  <si>
    <t>Ménage de trois personnes vivant dans un 4 pièces</t>
  </si>
  <si>
    <t>Ménage de quatre personnes vivant dans une maison individuelle (6 pièces)</t>
  </si>
  <si>
    <t>par m3 d'eau</t>
  </si>
  <si>
    <t>Min.</t>
  </si>
  <si>
    <t>25e percentile</t>
  </si>
  <si>
    <t>Médiane</t>
  </si>
  <si>
    <t>75e percentile</t>
  </si>
  <si>
    <t>Max.</t>
  </si>
  <si>
    <t>Moyenne</t>
  </si>
  <si>
    <t>Bassins 2015</t>
  </si>
  <si>
    <t>Prix</t>
  </si>
  <si>
    <t xml:space="preserve">Dechet </t>
  </si>
  <si>
    <t>Ordures ménagères [Frs/kg]</t>
  </si>
  <si>
    <t>Taxes entreprise [Frs/Employé]</t>
  </si>
  <si>
    <t>Taxes entreprise [Frs/Entreprise]</t>
  </si>
  <si>
    <t>http://www.bassins.ch/wp-content/uploads/2015/11/RGD_bassins_aou%5Et_2015_v2.pdf</t>
  </si>
  <si>
    <t>source:</t>
  </si>
  <si>
    <t>Bassins 2016</t>
  </si>
  <si>
    <t>Taxes habitants adultes [Frs]</t>
  </si>
  <si>
    <t>Taxes habitants enfants [Frs]</t>
  </si>
  <si>
    <t>Résidences secondaires [Frs/résidences]</t>
  </si>
  <si>
    <t>Taxe de raccordement [Frs/m2]</t>
  </si>
  <si>
    <t>Taxe de raccordement [‰ valeur ECA]</t>
  </si>
  <si>
    <t>Forfais min eau [m3/abonné]</t>
  </si>
  <si>
    <t>http://www.bassins.ch/wp-content/uploads/2016/12/Prix_eau_2016-2017.pdf</t>
  </si>
  <si>
    <t>Forfaits min. annuelle Epuration [m3/abonné]</t>
  </si>
  <si>
    <t>Epuration</t>
  </si>
  <si>
    <t>Bassins 2017</t>
  </si>
  <si>
    <t>Nyon</t>
  </si>
  <si>
    <t>Gland</t>
  </si>
  <si>
    <t>Lausanne</t>
  </si>
  <si>
    <t>Aigle</t>
  </si>
  <si>
    <t>Sion</t>
  </si>
  <si>
    <t>Yverdon-les-Bains</t>
  </si>
  <si>
    <t>Moudon</t>
  </si>
  <si>
    <t>Zürich</t>
  </si>
  <si>
    <t>Genève</t>
  </si>
  <si>
    <t>Bern</t>
  </si>
  <si>
    <t>Bernex</t>
  </si>
  <si>
    <t>Zug</t>
  </si>
  <si>
    <t>Locarno</t>
  </si>
  <si>
    <t>Lugano</t>
  </si>
  <si>
    <t>Orbe</t>
  </si>
  <si>
    <t>par sac de 35 l</t>
  </si>
  <si>
    <t>par m3 d'eau usée</t>
  </si>
  <si>
    <t>Taxe Micropoluant [Frs/personne]</t>
  </si>
  <si>
    <t>Le Locle</t>
  </si>
  <si>
    <t>Delémont</t>
  </si>
  <si>
    <t>Morges</t>
  </si>
  <si>
    <t>Rolle</t>
  </si>
  <si>
    <t>Sierre</t>
  </si>
  <si>
    <t>Fribourg</t>
  </si>
  <si>
    <t>Neuchâtel</t>
  </si>
  <si>
    <t>Porrentruy</t>
  </si>
  <si>
    <t>Bulle</t>
  </si>
  <si>
    <t>Moutier</t>
  </si>
  <si>
    <t>prix de l'eau en [Frs/m3] 1)</t>
  </si>
  <si>
    <t>1) Moyenne pondérée pour 2016. 1.70 sur 8 mois et 2.90 sur 4 mois</t>
  </si>
  <si>
    <t>approvisionnement en eau</t>
  </si>
  <si>
    <t>eaux usées</t>
  </si>
  <si>
    <t>élimination des déchets</t>
  </si>
  <si>
    <t>1) Moyenne pondérée pour 2016.</t>
  </si>
  <si>
    <t>https://www.bassins.ch/wp-content/uploads/2016/12/Directive_d%C3%A9chets_2016.pdf</t>
  </si>
  <si>
    <t>https://www.bassins.ch/wp-content/uploads/2016/12/R%C3%A8glement_d%C3%A9chets_2016.pdf</t>
  </si>
  <si>
    <t>https://www.bassins.ch/wp-content/uploads/2016/12/R%C3%A8glement_%C3%A9puration_1997.pdf</t>
  </si>
  <si>
    <t>https://www.bassins.ch/wp-content/uploads/2017/12/2017-12-04.pdf</t>
  </si>
  <si>
    <t>Bassins 2018</t>
  </si>
  <si>
    <t>Bassins 2019</t>
  </si>
  <si>
    <t>Taxe annuelle d’épuration [Frs/m3]</t>
  </si>
  <si>
    <t>Taxe  annuelle  d’entretien  des  canalisations  EC [Frs/m2]</t>
  </si>
  <si>
    <t>Taxe de raccordement unique</t>
  </si>
  <si>
    <t>Consommation d'eau total de l’immeuble</t>
  </si>
  <si>
    <t>Load unites [LU]*</t>
  </si>
  <si>
    <t>Surface brute utilisable / SBU [m2] *</t>
  </si>
  <si>
    <t>Surface construite / du bâtiment [m2] *</t>
  </si>
  <si>
    <t>Surface étanche [%] *</t>
  </si>
  <si>
    <t>Surface étanche [m2] *</t>
  </si>
  <si>
    <t>Diamètre du compteur [mm]*</t>
  </si>
  <si>
    <t>Diamètre du compteur [pouces] *</t>
  </si>
  <si>
    <t>3/4</t>
  </si>
  <si>
    <t>Charge / puissance nominale du compteur [m3/h] *</t>
  </si>
  <si>
    <t>Débit nominal du compteur Qn [m3/h] *</t>
  </si>
  <si>
    <t>Unités de raccordement [#] *</t>
  </si>
  <si>
    <t>Débit volumétrique de pointe [l/min] *</t>
  </si>
  <si>
    <t>Load unites [LU] *</t>
  </si>
  <si>
    <t>Équivalent-habitant *</t>
  </si>
  <si>
    <t>Données ménage type</t>
  </si>
  <si>
    <t>Eau potable (ESP)</t>
  </si>
  <si>
    <t>Bassins 2020</t>
  </si>
  <si>
    <t>[m3]</t>
  </si>
  <si>
    <t>Remplir les cases bleues</t>
  </si>
  <si>
    <t>Les caractéristiques suivies d’une seule astérisque (***) ont été définies par le GCB</t>
  </si>
  <si>
    <t>Nombre d'adultes dans votre ménage</t>
  </si>
  <si>
    <t>Nombre d'enfants dans votre ménage</t>
  </si>
  <si>
    <t>Nbre d'appartements [#]**</t>
  </si>
  <si>
    <t>[m2]</t>
  </si>
  <si>
    <t>Quantité d'ordures ménagères</t>
  </si>
  <si>
    <t>[kg]</t>
  </si>
  <si>
    <t>Quantité d'encombrants, inertes, bois, déchets verts, ferraille</t>
  </si>
  <si>
    <t>Encombrants, inertes, bois, déchets verts, ferraille [Frs/kg]</t>
  </si>
  <si>
    <t>Consommation annuelle d'eau potable</t>
  </si>
  <si>
    <t>Total</t>
  </si>
  <si>
    <t>Taxe consomation eau</t>
  </si>
  <si>
    <t>Sous compteur</t>
  </si>
  <si>
    <t>Taxe annuelle épuration</t>
  </si>
  <si>
    <t>Taxe annuelle entretien EC</t>
  </si>
  <si>
    <t>Taxe  annuelle  d’entretien  des  canalisations  EU [Frs/m2]</t>
  </si>
  <si>
    <t>Surface habitable (SBPu)</t>
  </si>
  <si>
    <t>Taxe de base</t>
  </si>
  <si>
    <t>Taxe au poid ordure ménagère</t>
  </si>
  <si>
    <t>Taxe au poid déchets verts etc...</t>
  </si>
  <si>
    <t>Total des 3 taxes</t>
  </si>
  <si>
    <t>Surface brut de plancher (SBP)</t>
  </si>
  <si>
    <t>Surface imperméabilisée de votre habitation (Simp)</t>
  </si>
  <si>
    <t>Taxe de raccordement unique EU</t>
  </si>
  <si>
    <t>Taxe de raccordement unique EC</t>
  </si>
  <si>
    <t>Taxe d'introduction égout</t>
  </si>
  <si>
    <t>[SFr]</t>
  </si>
  <si>
    <t>Taxe d'introduction eau potable (ESP)</t>
  </si>
  <si>
    <t>2016-2019</t>
  </si>
  <si>
    <t>Valeur du bâtiment ECA</t>
  </si>
  <si>
    <t>1993-2015</t>
  </si>
  <si>
    <t>1996-2019</t>
  </si>
  <si>
    <t>Total des 2 taxes d'introduction</t>
  </si>
  <si>
    <t>1996-2015</t>
  </si>
  <si>
    <t xml:space="preserve">Location compteur [Frs] </t>
  </si>
  <si>
    <t>Forfaits annuelle [Frs]</t>
  </si>
  <si>
    <t>Prix par m3 d'eau consommée pour l'épuration</t>
  </si>
  <si>
    <t>Prix par m3 d'eau consommée pour l'eau potable (ESP)</t>
  </si>
  <si>
    <t>Prix par kg d'ordure ménagère</t>
  </si>
  <si>
    <t>Poid d'un sac poubelle de 35 l [kg]***</t>
  </si>
  <si>
    <t>Prix par sac de 35 l d'ordure ménagère</t>
  </si>
  <si>
    <t>soit selon les donnée de monsieur prix</t>
  </si>
  <si>
    <t>[sac de 35 l]</t>
  </si>
  <si>
    <t>Vous en 2015</t>
  </si>
  <si>
    <t>Vous en 2020</t>
  </si>
  <si>
    <t>Vous en 2019</t>
  </si>
  <si>
    <t>Calcul prix Type de ménage</t>
  </si>
  <si>
    <t>Type de ménage 1/2</t>
  </si>
  <si>
    <t>Consommation d'eau [Frs]</t>
  </si>
  <si>
    <t>Forfais annuelle eau [Frs]</t>
  </si>
  <si>
    <t>Total [Frs]</t>
  </si>
  <si>
    <t>Total [Frs/m3]</t>
  </si>
  <si>
    <t>Epuration [Frs]</t>
  </si>
  <si>
    <t>Consommation epuration [Frs]</t>
  </si>
  <si>
    <t>Forfais annuelle epuration [Frs]</t>
  </si>
  <si>
    <t>Taxe  annuelle  d’entretien  des  canalisations  EU [Frs/m3]</t>
  </si>
  <si>
    <t>Dechet [Frs]</t>
  </si>
  <si>
    <t>consomation annuelle [Frs]</t>
  </si>
  <si>
    <t>Forfais annuelle [Frs]</t>
  </si>
  <si>
    <t>Total [Frs/kg]</t>
  </si>
  <si>
    <t>prix par sac de 35 litre [Frs]</t>
  </si>
  <si>
    <t>Total facture [Frs]</t>
  </si>
  <si>
    <t>Total facture par personne [Frs]</t>
  </si>
  <si>
    <t>Type de ménage 3/4</t>
  </si>
  <si>
    <t>Type de ménage 4/6</t>
  </si>
  <si>
    <t>Vous en 2016</t>
  </si>
  <si>
    <t>Vous en 2017</t>
  </si>
  <si>
    <t>Vous en 2018</t>
  </si>
  <si>
    <t>données utilisée pour Bassins</t>
  </si>
  <si>
    <t>Nombre d'adultes dans le ménage [#]**</t>
  </si>
  <si>
    <t>Nombre d'enfants dans le ménage [#]**</t>
  </si>
  <si>
    <t>Total de votre facture</t>
  </si>
  <si>
    <t>Année</t>
  </si>
  <si>
    <t>Augmentation 2015-2020</t>
  </si>
  <si>
    <t>Augmentation 2019-2020</t>
  </si>
  <si>
    <t>Aide pour le calcul estimatif des taxes d'introductions de la commune de Bassins</t>
  </si>
  <si>
    <t>Données types selon Monsieur prix</t>
  </si>
  <si>
    <t>Ménage type en 2015</t>
  </si>
  <si>
    <t>Ménage type en 2016</t>
  </si>
  <si>
    <t>Ménage type en 2017</t>
  </si>
  <si>
    <t>Ménage type en 2018</t>
  </si>
  <si>
    <t>Ménage type en 2019</t>
  </si>
  <si>
    <t>Ménage type en 2020</t>
  </si>
  <si>
    <t>Taxes épuration</t>
  </si>
  <si>
    <t>Taxes eau potable ESP</t>
  </si>
  <si>
    <t>Taxes déchetterie</t>
  </si>
  <si>
    <t>Aide pour le calcul estimatif des taxes annuelles de la Commune de Bassins</t>
  </si>
  <si>
    <t>Surveillance des Prix, comparatif</t>
  </si>
  <si>
    <t>Source : http://www.preisvergleiche.preisueberwacher.admin.ch/?l=1</t>
  </si>
  <si>
    <t xml:space="preserve">Version : GCB octobre 2019 </t>
  </si>
  <si>
    <t>Valeur du point d'impôt par habitants [Frs/habitant]</t>
  </si>
  <si>
    <t>http://www.pisepub.vd.ch/</t>
  </si>
  <si>
    <t>Population au 31 décembre (FAO)</t>
  </si>
  <si>
    <t>Projection 2020 selon préavis 13-19</t>
  </si>
  <si>
    <t>Taxe annuelle de raccordement eaux claires EC [Frs/m2]</t>
  </si>
  <si>
    <t>Taxe annuelle de raccordement eaux usées EU [Frs/m2]</t>
  </si>
  <si>
    <t>https://www.bassins.ch/wp-content/uploads/2019/10/13.19.pdf</t>
  </si>
  <si>
    <t>http://www.gcbassins.ch/Documents/TmpDel/Pr%C3%A9avis9.15OEaux.pdf</t>
  </si>
  <si>
    <t>Taxe micropoluants</t>
  </si>
  <si>
    <t>Nbre d'appartements dans votre immeuble/maison</t>
  </si>
  <si>
    <t>Vous trouverez cette information sur les factures de la commune, par ex "Decompte eau et épuration 2018"</t>
  </si>
  <si>
    <t>Toiture, terrasse, parking, couvert...</t>
  </si>
  <si>
    <t>Pour propriétaire</t>
  </si>
  <si>
    <t>Nombre d'adultes dans votre immeuble/maison</t>
  </si>
  <si>
    <t>Nombre d'enfants dans votre immeuble/maison</t>
  </si>
  <si>
    <r>
      <t xml:space="preserve">En point d'impôt par habitant </t>
    </r>
    <r>
      <rPr>
        <i/>
        <sz val="8"/>
        <rFont val="Arial"/>
        <family val="2"/>
      </rPr>
      <t>(ménage)</t>
    </r>
  </si>
  <si>
    <r>
      <t xml:space="preserve">En point d'impôt par habitant </t>
    </r>
    <r>
      <rPr>
        <i/>
        <sz val="8"/>
        <rFont val="Arial"/>
        <family val="2"/>
      </rPr>
      <t>(immeuble/maison)</t>
    </r>
  </si>
  <si>
    <t>Taxe de base (compteur+Taxe unité locative)</t>
  </si>
  <si>
    <t>Vos données pour les taxes ESP et épuration (pour l'immeuble/maison)</t>
  </si>
  <si>
    <t>Vos données pour la taxe déchetterie (pour votre ménage)</t>
  </si>
  <si>
    <t>Les prix sont calculés sans la TVA</t>
  </si>
  <si>
    <t>Surface construite au sol du bâtiment</t>
  </si>
  <si>
    <t>Pour locataire</t>
  </si>
  <si>
    <t>Consommation annuelle d'eau potable par personne</t>
  </si>
  <si>
    <t>Vos données pour les taxes ESP et épuration (pour votre ménage)</t>
  </si>
  <si>
    <t>Surface imperméabilisée de votre immeuble/maison</t>
  </si>
  <si>
    <t>En point d'impôt par habitant</t>
  </si>
  <si>
    <t>https://www.pisepub.vd.ch/pisepub/asp/Main.aspx?Server=S014504P&amp;Project=180+Rendements+des+imp%C3%B4ts+et+taxes&amp;Port=0&amp;evt=2001&amp;src=Main.aspx.shared.fbb.fb.2001&amp;folderID=4A36686643B386E924CF92B948D6D183</t>
  </si>
  <si>
    <t>Taxe annuelle entretien EU</t>
  </si>
  <si>
    <t>Surface brut utilisable de votre appartement</t>
  </si>
  <si>
    <t>Toiture, cour, parking, voie d’accès, ouvrages souterrains,...</t>
  </si>
  <si>
    <t xml:space="preserve">La consomation annuelle du votre ménage et de </t>
  </si>
  <si>
    <t>La consomation annuelle moyenne par personne et de 52 m3 à 55 m3 selon l'OFS</t>
  </si>
  <si>
    <t>Forfaits min. EU à partir de 2020 1er UL [m2/UL]</t>
  </si>
  <si>
    <t>Forfaits min. EU à partir de 2020 2+ UL [m2/UL]</t>
  </si>
  <si>
    <t>valeur minimum selon règlement 2020</t>
  </si>
  <si>
    <t xml:space="preserve">Vous avez des remarques, des questions, constaté des erreurs : contact@gcbassins.ch </t>
  </si>
  <si>
    <t xml:space="preserve">Version : GCB juin 2020 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</si>
</sst>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Vrai&quot;;&quot;Vrai&quot;;&quot;Faux&quot;"/>
    <numFmt numFmtId="173" formatCode="&quot;Actif&quot;;&quot;Actif&quot;;&quot;Inactif&quot;"/>
    <numFmt numFmtId="174" formatCode="&quot;fr.&quot;\ #,##0.00"/>
    <numFmt numFmtId="175" formatCode="0.000"/>
    <numFmt numFmtId="176" formatCode="\f\r.\ ###0.00"/>
    <numFmt numFmtId="177" formatCode="[$€-2]\ #,##0.00_);[Red]\([$€-2]\ #,##0.00\)"/>
    <numFmt numFmtId="178" formatCode="#,##0.00\ ;[Red]\-#,##0.00\ "/>
    <numFmt numFmtId="179" formatCode="#,##0.00_ ;[Red]\-#,##0.00\ "/>
    <numFmt numFmtId="180" formatCode="#,##0.0000000000_ ;[Red]\-#,##0.0000000000\ "/>
    <numFmt numFmtId="181" formatCode="0.0"/>
    <numFmt numFmtId="182" formatCode="[$CHF-1407]\ #,##0.00"/>
    <numFmt numFmtId="183" formatCode="_ &quot;SFr.&quot;\ * #,##0_ ;_ &quot;SFr.&quot;\ * \-#,##0_ ;_ &quot;SFr.&quot;\ * &quot;-&quot;_ ;_ @_ "/>
    <numFmt numFmtId="184" formatCode="_ &quot;SFr.&quot;\ * #,##0.00_ ;_ &quot;SFr.&quot;\ * \-#,##0.00_ ;_ &quot;SFr.&quot;\ * &quot;-&quot;??_ ;_ @_ "/>
    <numFmt numFmtId="185" formatCode="#,##0.00\ &quot;fr.&quot;"/>
    <numFmt numFmtId="186" formatCode="#,##0.0;\(#,##0.0\)"/>
  </numFmts>
  <fonts count="6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22"/>
      <name val="Arial"/>
      <family val="2"/>
    </font>
    <font>
      <sz val="4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22"/>
      <name val="Gill Sans Std"/>
      <family val="2"/>
    </font>
    <font>
      <i/>
      <sz val="10"/>
      <name val="Arial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sz val="12"/>
      <name val="Arial"/>
      <family val="2"/>
    </font>
    <font>
      <i/>
      <sz val="8"/>
      <name val="Arial"/>
      <family val="2"/>
    </font>
    <font>
      <sz val="9.5"/>
      <color indexed="8"/>
      <name val="Arial"/>
      <family val="2"/>
    </font>
    <font>
      <sz val="9.5"/>
      <color indexed="10"/>
      <name val="Arial"/>
      <family val="2"/>
    </font>
    <font>
      <sz val="9.5"/>
      <color indexed="52"/>
      <name val="Arial"/>
      <family val="2"/>
    </font>
    <font>
      <sz val="9.5"/>
      <color indexed="57"/>
      <name val="Arial"/>
      <family val="2"/>
    </font>
    <font>
      <sz val="9.25"/>
      <color indexed="8"/>
      <name val="Arial"/>
      <family val="2"/>
    </font>
    <font>
      <sz val="6.75"/>
      <color indexed="8"/>
      <name val="Arial"/>
      <family val="2"/>
    </font>
    <font>
      <sz val="9.5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b/>
      <sz val="9.25"/>
      <color indexed="8"/>
      <name val="Arial"/>
      <family val="2"/>
    </font>
    <font>
      <b/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45" applyAlignment="1" applyProtection="1">
      <alignment/>
      <protection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right"/>
    </xf>
    <xf numFmtId="0" fontId="6" fillId="3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5" fillId="35" borderId="10" xfId="0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right" wrapText="1"/>
    </xf>
    <xf numFmtId="0" fontId="5" fillId="35" borderId="13" xfId="0" applyFont="1" applyFill="1" applyBorder="1" applyAlignment="1">
      <alignment horizontal="right" wrapText="1"/>
    </xf>
    <xf numFmtId="0" fontId="5" fillId="35" borderId="14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5" fillId="35" borderId="15" xfId="0" applyFont="1" applyFill="1" applyBorder="1" applyAlignment="1">
      <alignment horizontal="right" wrapText="1"/>
    </xf>
    <xf numFmtId="0" fontId="5" fillId="35" borderId="16" xfId="0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right" wrapText="1"/>
    </xf>
    <xf numFmtId="0" fontId="5" fillId="35" borderId="18" xfId="0" applyFont="1" applyFill="1" applyBorder="1" applyAlignment="1">
      <alignment horizontal="right" wrapText="1"/>
    </xf>
    <xf numFmtId="0" fontId="5" fillId="35" borderId="19" xfId="0" applyFont="1" applyFill="1" applyBorder="1" applyAlignment="1">
      <alignment horizontal="right" wrapText="1"/>
    </xf>
    <xf numFmtId="0" fontId="5" fillId="35" borderId="2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6" fillId="34" borderId="23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" fontId="0" fillId="0" borderId="10" xfId="0" applyNumberFormat="1" applyFont="1" applyBorder="1" applyAlignment="1" quotePrefix="1">
      <alignment horizontal="right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 quotePrefix="1">
      <alignment horizontal="right"/>
    </xf>
    <xf numFmtId="1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Alignment="1">
      <alignment/>
    </xf>
    <xf numFmtId="0" fontId="10" fillId="36" borderId="24" xfId="52" applyFont="1" applyFill="1" applyBorder="1" applyAlignment="1">
      <alignment horizontal="left"/>
      <protection/>
    </xf>
    <xf numFmtId="0" fontId="4" fillId="0" borderId="0" xfId="52" applyFont="1" applyAlignment="1">
      <alignment wrapText="1"/>
      <protection/>
    </xf>
    <xf numFmtId="0" fontId="0" fillId="0" borderId="0" xfId="52" applyAlignment="1">
      <alignment wrapText="1"/>
      <protection/>
    </xf>
    <xf numFmtId="0" fontId="0" fillId="0" borderId="0" xfId="52" applyFill="1" applyBorder="1" applyAlignment="1">
      <alignment wrapText="1"/>
      <protection/>
    </xf>
    <xf numFmtId="0" fontId="10" fillId="36" borderId="10" xfId="52" applyFont="1" applyFill="1" applyBorder="1" applyAlignment="1">
      <alignment horizontal="right"/>
      <protection/>
    </xf>
    <xf numFmtId="0" fontId="10" fillId="0" borderId="0" xfId="52" applyFont="1" applyFill="1" applyBorder="1" applyAlignment="1">
      <alignment horizontal="right"/>
      <protection/>
    </xf>
    <xf numFmtId="18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52" applyFont="1" applyAlignment="1">
      <alignment wrapText="1"/>
      <protection/>
    </xf>
    <xf numFmtId="0" fontId="1" fillId="0" borderId="0" xfId="0" applyFont="1" applyAlignment="1">
      <alignment horizontal="right"/>
    </xf>
    <xf numFmtId="0" fontId="0" fillId="0" borderId="25" xfId="0" applyFont="1" applyBorder="1" applyAlignment="1">
      <alignment/>
    </xf>
    <xf numFmtId="184" fontId="0" fillId="0" borderId="10" xfId="0" applyNumberFormat="1" applyBorder="1" applyAlignment="1">
      <alignment/>
    </xf>
    <xf numFmtId="184" fontId="1" fillId="0" borderId="10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37" borderId="10" xfId="0" applyFont="1" applyFill="1" applyBorder="1" applyAlignment="1">
      <alignment horizontal="center"/>
    </xf>
    <xf numFmtId="0" fontId="0" fillId="0" borderId="0" xfId="52" applyFont="1" applyAlignment="1">
      <alignment horizontal="left" wrapText="1"/>
      <protection/>
    </xf>
    <xf numFmtId="0" fontId="1" fillId="0" borderId="0" xfId="0" applyFont="1" applyBorder="1" applyAlignment="1">
      <alignment/>
    </xf>
    <xf numFmtId="4" fontId="10" fillId="36" borderId="1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10" fillId="36" borderId="10" xfId="52" applyFont="1" applyFill="1" applyBorder="1" applyAlignment="1">
      <alignment wrapText="1"/>
      <protection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2" fontId="0" fillId="0" borderId="10" xfId="0" applyNumberFormat="1" applyFill="1" applyBorder="1" applyAlignment="1">
      <alignment/>
    </xf>
    <xf numFmtId="181" fontId="11" fillId="0" borderId="0" xfId="52" applyNumberFormat="1" applyFont="1" applyFill="1" applyBorder="1" applyAlignment="1">
      <alignment horizontal="right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38" borderId="10" xfId="0" applyFill="1" applyBorder="1" applyAlignment="1">
      <alignment horizontal="center" wrapText="1"/>
    </xf>
    <xf numFmtId="0" fontId="0" fillId="38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81" fontId="14" fillId="0" borderId="0" xfId="0" applyNumberFormat="1" applyFont="1" applyAlignment="1">
      <alignment/>
    </xf>
    <xf numFmtId="181" fontId="0" fillId="0" borderId="0" xfId="0" applyNumberFormat="1" applyAlignment="1">
      <alignment horizontal="center"/>
    </xf>
    <xf numFmtId="181" fontId="14" fillId="0" borderId="10" xfId="0" applyNumberFormat="1" applyFont="1" applyBorder="1" applyAlignment="1">
      <alignment/>
    </xf>
    <xf numFmtId="181" fontId="14" fillId="0" borderId="0" xfId="0" applyNumberFormat="1" applyFont="1" applyAlignment="1">
      <alignment horizontal="center"/>
    </xf>
    <xf numFmtId="3" fontId="15" fillId="0" borderId="0" xfId="53" applyNumberFormat="1" applyFont="1" applyFill="1" applyBorder="1" applyAlignment="1">
      <alignment horizontal="right" vertical="center"/>
      <protection/>
    </xf>
    <xf numFmtId="186" fontId="15" fillId="0" borderId="0" xfId="53" applyNumberFormat="1" applyFont="1" applyFill="1" applyBorder="1" applyAlignment="1">
      <alignment horizontal="right" vertical="center"/>
      <protection/>
    </xf>
    <xf numFmtId="186" fontId="16" fillId="0" borderId="0" xfId="53" applyNumberFormat="1" applyFont="1" applyFill="1" applyBorder="1" applyAlignment="1">
      <alignment horizontal="right" vertical="center"/>
      <protection/>
    </xf>
    <xf numFmtId="181" fontId="0" fillId="0" borderId="0" xfId="0" applyNumberFormat="1" applyAlignment="1">
      <alignment/>
    </xf>
    <xf numFmtId="0" fontId="2" fillId="37" borderId="10" xfId="45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3" fillId="0" borderId="0" xfId="52" applyFont="1" applyBorder="1" applyAlignment="1">
      <alignment wrapText="1"/>
      <protection/>
    </xf>
    <xf numFmtId="0" fontId="8" fillId="0" borderId="0" xfId="0" applyFont="1" applyAlignment="1">
      <alignment wrapText="1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86" fontId="2" fillId="34" borderId="0" xfId="45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4" fillId="0" borderId="0" xfId="52" applyFont="1" applyAlignment="1">
      <alignment horizontal="right" wrapText="1"/>
      <protection/>
    </xf>
    <xf numFmtId="0" fontId="65" fillId="0" borderId="0" xfId="52" applyFont="1" applyFill="1" applyBorder="1" applyAlignment="1">
      <alignment horizontal="right"/>
      <protection/>
    </xf>
    <xf numFmtId="0" fontId="65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 wrapText="1"/>
    </xf>
    <xf numFmtId="0" fontId="66" fillId="0" borderId="0" xfId="0" applyFont="1" applyAlignment="1">
      <alignment horizontal="right" wrapText="1"/>
    </xf>
    <xf numFmtId="41" fontId="65" fillId="0" borderId="0" xfId="52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/>
    </xf>
    <xf numFmtId="186" fontId="2" fillId="34" borderId="0" xfId="45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2" fillId="0" borderId="0" xfId="45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184" fontId="1" fillId="0" borderId="10" xfId="0" applyNumberFormat="1" applyFont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13" fillId="0" borderId="0" xfId="52" applyFont="1" applyBorder="1" applyAlignment="1">
      <alignment wrapText="1"/>
      <protection/>
    </xf>
    <xf numFmtId="0" fontId="2" fillId="0" borderId="0" xfId="45" applyAlignment="1" applyProtection="1">
      <alignment horizontal="center" vertical="center" wrapText="1"/>
      <protection/>
    </xf>
    <xf numFmtId="0" fontId="5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0" xfId="45" applyAlignment="1" applyProtection="1">
      <alignment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prix, approvisionnement en eau</a:t>
            </a:r>
          </a:p>
        </c:rich>
      </c:tx>
      <c:layout>
        <c:manualLayout>
          <c:xMode val="factor"/>
          <c:yMode val="factor"/>
          <c:x val="0.106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25"/>
          <c:w val="0.94625"/>
          <c:h val="0.915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P'!$B$10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P'!$D$10:$F$10</c:f>
              <c:numCache>
                <c:ptCount val="3"/>
                <c:pt idx="0">
                  <c:v>2.32</c:v>
                </c:pt>
                <c:pt idx="1">
                  <c:v>2.14</c:v>
                </c:pt>
                <c:pt idx="2">
                  <c:v>2.52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P'!$B$11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P'!$D$11:$F$11</c:f>
              <c:numCache>
                <c:ptCount val="3"/>
                <c:pt idx="0">
                  <c:v>7.6</c:v>
                </c:pt>
                <c:pt idx="1">
                  <c:v>4.21</c:v>
                </c:pt>
                <c:pt idx="2">
                  <c:v>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P'!$B$7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P'!$D$7:$F$7</c:f>
              <c:numCache>
                <c:ptCount val="3"/>
                <c:pt idx="0">
                  <c:v>0.37</c:v>
                </c:pt>
                <c:pt idx="1">
                  <c:v>0.38</c:v>
                </c:pt>
                <c:pt idx="2">
                  <c:v>0.44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P'!$B$19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P'!$D$19:$F$19</c:f>
              <c:numCache>
                <c:ptCount val="3"/>
                <c:pt idx="0">
                  <c:v>2.1476190476190475</c:v>
                </c:pt>
                <c:pt idx="1">
                  <c:v>2.1476190476190475</c:v>
                </c:pt>
                <c:pt idx="2">
                  <c:v>2.1476190476190475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P'!$B$26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P'!$D$26:$F$26</c:f>
              <c:numCache>
                <c:ptCount val="3"/>
                <c:pt idx="0">
                  <c:v>3.1818181818181817</c:v>
                </c:pt>
                <c:pt idx="1">
                  <c:v>2.1870967741935483</c:v>
                </c:pt>
                <c:pt idx="2">
                  <c:v>2.1476190476190475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P'!$B$14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P'!$D$14:$F$14</c:f>
              <c:numCache>
                <c:ptCount val="3"/>
                <c:pt idx="0">
                  <c:v>1.9142857142857144</c:v>
                </c:pt>
                <c:pt idx="1">
                  <c:v>1.9142857142857144</c:v>
                </c:pt>
                <c:pt idx="2">
                  <c:v>1.9142857142857144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P'!$B$12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'Monsieur prix comparatif P'!$D$12:$F$12</c:f>
              <c:numCache>
                <c:ptCount val="3"/>
                <c:pt idx="0">
                  <c:v>2.03</c:v>
                </c:pt>
                <c:pt idx="1">
                  <c:v>1.76</c:v>
                </c:pt>
                <c:pt idx="2">
                  <c:v>2.07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P'!$B$9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P'!$D$9:$F$9</c:f>
              <c:numCache>
                <c:ptCount val="3"/>
                <c:pt idx="0">
                  <c:v>1.92</c:v>
                </c:pt>
                <c:pt idx="1">
                  <c:v>1.92</c:v>
                </c:pt>
                <c:pt idx="2">
                  <c:v>2.07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P'!$B$8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P'!$D$8:$F$8</c:f>
              <c:numCache>
                <c:ptCount val="3"/>
                <c:pt idx="0">
                  <c:v>1.46</c:v>
                </c:pt>
                <c:pt idx="1">
                  <c:v>1.32</c:v>
                </c:pt>
                <c:pt idx="2">
                  <c:v>1.52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6977655"/>
        <c:axId val="41472304"/>
      </c:lineChart>
      <c:catAx>
        <c:axId val="26977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2304"/>
        <c:crosses val="autoZero"/>
        <c:auto val="1"/>
        <c:lblOffset val="100"/>
        <c:tickLblSkip val="1"/>
        <c:noMultiLvlLbl val="0"/>
      </c:catAx>
      <c:valAx>
        <c:axId val="414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7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"/>
          <c:w val="0.09325"/>
          <c:h val="0.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prix, approvisionnement en eau</a:t>
            </a:r>
          </a:p>
        </c:rich>
      </c:tx>
      <c:layout>
        <c:manualLayout>
          <c:xMode val="factor"/>
          <c:yMode val="factor"/>
          <c:x val="0.106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35"/>
          <c:w val="0.94725"/>
          <c:h val="0.909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L'!$B$10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L'!$D$10:$F$10</c:f>
              <c:numCache>
                <c:ptCount val="3"/>
                <c:pt idx="0">
                  <c:v>2.32</c:v>
                </c:pt>
                <c:pt idx="1">
                  <c:v>2.14</c:v>
                </c:pt>
                <c:pt idx="2">
                  <c:v>2.52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L'!$B$11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L'!$D$11:$F$11</c:f>
              <c:numCache>
                <c:ptCount val="3"/>
                <c:pt idx="0">
                  <c:v>7.6</c:v>
                </c:pt>
                <c:pt idx="1">
                  <c:v>4.21</c:v>
                </c:pt>
                <c:pt idx="2">
                  <c:v>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L'!$B$7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L'!$D$7:$F$7</c:f>
              <c:numCache>
                <c:ptCount val="3"/>
                <c:pt idx="0">
                  <c:v>0.37</c:v>
                </c:pt>
                <c:pt idx="1">
                  <c:v>0.38</c:v>
                </c:pt>
                <c:pt idx="2">
                  <c:v>0.44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L'!$B$19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L'!$D$19:$F$19</c:f>
              <c:numCache>
                <c:ptCount val="3"/>
                <c:pt idx="0">
                  <c:v>3.1818181818181817</c:v>
                </c:pt>
                <c:pt idx="1">
                  <c:v>3.1818181818181817</c:v>
                </c:pt>
                <c:pt idx="2">
                  <c:v>3.1818181818181817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L'!$B$26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L'!$D$26:$F$26</c:f>
              <c:numCache>
                <c:ptCount val="3"/>
                <c:pt idx="0">
                  <c:v>3.1818181818181817</c:v>
                </c:pt>
                <c:pt idx="1">
                  <c:v>2.1870967741935483</c:v>
                </c:pt>
                <c:pt idx="2">
                  <c:v>2.1476190476190475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L'!$B$14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L'!$D$14:$F$14</c:f>
              <c:numCache>
                <c:ptCount val="3"/>
                <c:pt idx="0">
                  <c:v>1.7545454545454546</c:v>
                </c:pt>
                <c:pt idx="1">
                  <c:v>1.7545454545454546</c:v>
                </c:pt>
                <c:pt idx="2">
                  <c:v>1.7545454545454546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L'!$B$12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aderLines val="1"/>
          </c:dLbls>
          <c:val>
            <c:numRef>
              <c:f>'Monsieur prix comparatif L'!$D$12:$F$12</c:f>
              <c:numCache>
                <c:ptCount val="3"/>
                <c:pt idx="0">
                  <c:v>2.03</c:v>
                </c:pt>
                <c:pt idx="1">
                  <c:v>1.76</c:v>
                </c:pt>
                <c:pt idx="2">
                  <c:v>2.07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L'!$B$9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L'!$D$9:$F$9</c:f>
              <c:numCache>
                <c:ptCount val="3"/>
                <c:pt idx="0">
                  <c:v>1.92</c:v>
                </c:pt>
                <c:pt idx="1">
                  <c:v>1.92</c:v>
                </c:pt>
                <c:pt idx="2">
                  <c:v>2.07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L'!$B$8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L'!$D$8:$F$8</c:f>
              <c:numCache>
                <c:ptCount val="3"/>
                <c:pt idx="0">
                  <c:v>1.46</c:v>
                </c:pt>
                <c:pt idx="1">
                  <c:v>1.32</c:v>
                </c:pt>
                <c:pt idx="2">
                  <c:v>1.52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7706417"/>
        <c:axId val="3813434"/>
      </c:line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6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"/>
          <c:w val="0.0932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élimination des déchets</a:t>
            </a:r>
          </a:p>
        </c:rich>
      </c:tx>
      <c:layout>
        <c:manualLayout>
          <c:xMode val="factor"/>
          <c:yMode val="factor"/>
          <c:x val="0.094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5825"/>
          <c:w val="0.9445"/>
          <c:h val="0.911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P'!$B$10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P'!$H$10:$J$10</c:f>
              <c:numCache>
                <c:ptCount val="3"/>
                <c:pt idx="0">
                  <c:v>3.72</c:v>
                </c:pt>
                <c:pt idx="1">
                  <c:v>2.57</c:v>
                </c:pt>
                <c:pt idx="2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P'!$B$11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P'!$H$11:$J$11</c:f>
              <c:numCache>
                <c:ptCount val="3"/>
                <c:pt idx="0">
                  <c:v>5.54</c:v>
                </c:pt>
                <c:pt idx="1">
                  <c:v>3.91</c:v>
                </c:pt>
                <c:pt idx="2">
                  <c:v>3.76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P'!$B$7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P'!$H$7:$J$7</c:f>
              <c:numCache>
                <c:ptCount val="3"/>
                <c:pt idx="0">
                  <c:v>1.3</c:v>
                </c:pt>
                <c:pt idx="1">
                  <c:v>0.7</c:v>
                </c:pt>
                <c:pt idx="2">
                  <c:v>0.54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P'!$B$19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P'!$H$19:$J$19</c:f>
              <c:numCache>
                <c:ptCount val="3"/>
                <c:pt idx="0">
                  <c:v>5.2375</c:v>
                </c:pt>
                <c:pt idx="1">
                  <c:v>5.2375</c:v>
                </c:pt>
                <c:pt idx="2">
                  <c:v>5.2375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P'!$B$26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P'!$H$26:$J$26</c:f>
              <c:numCache>
                <c:ptCount val="3"/>
                <c:pt idx="0">
                  <c:v>6.011627906976744</c:v>
                </c:pt>
                <c:pt idx="1">
                  <c:v>5.498837209302326</c:v>
                </c:pt>
                <c:pt idx="2">
                  <c:v>5.2375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P'!$B$14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P'!$H$14:$J$14</c:f>
              <c:numCache>
                <c:ptCount val="3"/>
                <c:pt idx="0">
                  <c:v>4.481686046511628</c:v>
                </c:pt>
                <c:pt idx="1">
                  <c:v>4.481686046511628</c:v>
                </c:pt>
                <c:pt idx="2">
                  <c:v>4.481686046511628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P'!$B$12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'Monsieur prix comparatif P'!$H$12:$J$12</c:f>
              <c:numCache>
                <c:ptCount val="3"/>
                <c:pt idx="0">
                  <c:v>3.1</c:v>
                </c:pt>
                <c:pt idx="1">
                  <c:v>2.31</c:v>
                </c:pt>
                <c:pt idx="2">
                  <c:v>2.21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P'!$B$9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P'!$H$9:$J$9</c:f>
              <c:numCache>
                <c:ptCount val="3"/>
                <c:pt idx="0">
                  <c:v>3.09</c:v>
                </c:pt>
                <c:pt idx="1">
                  <c:v>2.28</c:v>
                </c:pt>
                <c:pt idx="2">
                  <c:v>2.17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P'!$B$8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P'!$H$8:$J$8</c:f>
              <c:numCache>
                <c:ptCount val="3"/>
                <c:pt idx="0">
                  <c:v>2.44</c:v>
                </c:pt>
                <c:pt idx="1">
                  <c:v>1.97</c:v>
                </c:pt>
                <c:pt idx="2">
                  <c:v>1.86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4320907"/>
        <c:axId val="40452708"/>
      </c:line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"/>
          <c:y val="0.0035"/>
          <c:w val="0.09325"/>
          <c:h val="0.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élimination des déchets</a:t>
            </a:r>
          </a:p>
        </c:rich>
      </c:tx>
      <c:layout>
        <c:manualLayout>
          <c:xMode val="factor"/>
          <c:yMode val="factor"/>
          <c:x val="0.094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825"/>
          <c:w val="0.9455"/>
          <c:h val="0.908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L'!$B$10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L'!$H$10:$J$10</c:f>
              <c:numCache>
                <c:ptCount val="3"/>
                <c:pt idx="0">
                  <c:v>3.72</c:v>
                </c:pt>
                <c:pt idx="1">
                  <c:v>2.57</c:v>
                </c:pt>
                <c:pt idx="2">
                  <c:v>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L'!$B$11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L'!$H$11:$J$11</c:f>
              <c:numCache>
                <c:ptCount val="3"/>
                <c:pt idx="0">
                  <c:v>5.54</c:v>
                </c:pt>
                <c:pt idx="1">
                  <c:v>3.91</c:v>
                </c:pt>
                <c:pt idx="2">
                  <c:v>3.76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L'!$B$7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L'!$H$7:$J$7</c:f>
              <c:numCache>
                <c:ptCount val="3"/>
                <c:pt idx="0">
                  <c:v>1.3</c:v>
                </c:pt>
                <c:pt idx="1">
                  <c:v>0.7</c:v>
                </c:pt>
                <c:pt idx="2">
                  <c:v>0.54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L'!$B$19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L'!$H$19:$J$19</c:f>
              <c:numCache>
                <c:ptCount val="3"/>
                <c:pt idx="0">
                  <c:v>6.018784606866002</c:v>
                </c:pt>
                <c:pt idx="1">
                  <c:v>6.018784606866002</c:v>
                </c:pt>
                <c:pt idx="2">
                  <c:v>6.018784606866002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'Monsieur prix comparatif L'!$B$26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L'!$H$26:$J$26</c:f>
              <c:numCache>
                <c:ptCount val="3"/>
                <c:pt idx="0">
                  <c:v>6.011627906976744</c:v>
                </c:pt>
                <c:pt idx="1">
                  <c:v>5.498837209302326</c:v>
                </c:pt>
                <c:pt idx="2">
                  <c:v>5.2375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'Monsieur prix comparatif L'!$B$14</c:f>
              <c:strCache>
                <c:ptCount val="1"/>
                <c:pt idx="0">
                  <c:v>Vous en 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0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L'!$H$14:$J$14</c:f>
              <c:numCache>
                <c:ptCount val="3"/>
                <c:pt idx="0">
                  <c:v>4.714908637873754</c:v>
                </c:pt>
                <c:pt idx="1">
                  <c:v>4.714908637873754</c:v>
                </c:pt>
                <c:pt idx="2">
                  <c:v>4.714908637873754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L'!$B$12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aderLines val="1"/>
          </c:dLbls>
          <c:val>
            <c:numRef>
              <c:f>'Monsieur prix comparatif L'!$H$12:$J$12</c:f>
              <c:numCache>
                <c:ptCount val="3"/>
                <c:pt idx="0">
                  <c:v>3.1</c:v>
                </c:pt>
                <c:pt idx="1">
                  <c:v>2.31</c:v>
                </c:pt>
                <c:pt idx="2">
                  <c:v>2.21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L'!$B$9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L'!$H$9:$J$9</c:f>
              <c:numCache>
                <c:ptCount val="3"/>
                <c:pt idx="0">
                  <c:v>3.09</c:v>
                </c:pt>
                <c:pt idx="1">
                  <c:v>2.28</c:v>
                </c:pt>
                <c:pt idx="2">
                  <c:v>2.17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L'!$B$8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L'!$H$8:$J$8</c:f>
              <c:numCache>
                <c:ptCount val="3"/>
                <c:pt idx="0">
                  <c:v>2.44</c:v>
                </c:pt>
                <c:pt idx="1">
                  <c:v>1.97</c:v>
                </c:pt>
                <c:pt idx="2">
                  <c:v>1.86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0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006"/>
          <c:w val="0.09325"/>
          <c:h val="0.2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eaux usées</a:t>
            </a:r>
          </a:p>
        </c:rich>
      </c:tx>
      <c:layout>
        <c:manualLayout>
          <c:xMode val="factor"/>
          <c:yMode val="factor"/>
          <c:x val="0.047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225"/>
          <c:w val="0.9425"/>
          <c:h val="0.9057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P'!$B$10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P'!$L$10:$N$10</c:f>
              <c:numCache>
                <c:ptCount val="3"/>
                <c:pt idx="0">
                  <c:v>2.57</c:v>
                </c:pt>
                <c:pt idx="1">
                  <c:v>2.48</c:v>
                </c:pt>
                <c:pt idx="2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P'!$B$11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P'!$L$11:$N$11</c:f>
              <c:numCache>
                <c:ptCount val="3"/>
                <c:pt idx="0">
                  <c:v>5.98</c:v>
                </c:pt>
                <c:pt idx="1">
                  <c:v>4.89</c:v>
                </c:pt>
                <c:pt idx="2">
                  <c:v>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P'!$B$7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P'!$L$7:$N$7</c:f>
              <c:numCache>
                <c:ptCount val="3"/>
                <c:pt idx="0">
                  <c:v>0.5</c:v>
                </c:pt>
                <c:pt idx="1">
                  <c:v>0.31</c:v>
                </c:pt>
                <c:pt idx="2">
                  <c:v>0.31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P'!$B$19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P'!$L$19:$N$19</c:f>
              <c:numCache>
                <c:ptCount val="3"/>
                <c:pt idx="0">
                  <c:v>3.4419047619047616</c:v>
                </c:pt>
                <c:pt idx="1">
                  <c:v>3.4419047619047616</c:v>
                </c:pt>
                <c:pt idx="2">
                  <c:v>3.4419047619047616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'Monsieur prix comparatif P'!$B$26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P'!$L$26:$N$26</c:f>
              <c:numCache>
                <c:ptCount val="3"/>
                <c:pt idx="0">
                  <c:v>3.867272727272727</c:v>
                </c:pt>
                <c:pt idx="1">
                  <c:v>2.9516129032258065</c:v>
                </c:pt>
                <c:pt idx="2">
                  <c:v>3.4419047619047616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'Monsieur prix comparatif P'!$B$18</c:f>
              <c:strCache>
                <c:ptCount val="1"/>
                <c:pt idx="0">
                  <c:v>Vous en 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P'!$L$18:$N$18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P'!$B$12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'Monsieur prix comparatif P'!$L$12:$N$12</c:f>
              <c:numCache>
                <c:ptCount val="3"/>
                <c:pt idx="0">
                  <c:v>2.18</c:v>
                </c:pt>
                <c:pt idx="1">
                  <c:v>1.97</c:v>
                </c:pt>
                <c:pt idx="2">
                  <c:v>2.16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P'!$B$9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P'!$L$9:$N$9</c:f>
              <c:numCache>
                <c:ptCount val="3"/>
                <c:pt idx="0">
                  <c:v>2.06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P'!$B$8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P'!$L$8:$N$8</c:f>
              <c:numCache>
                <c:ptCount val="3"/>
                <c:pt idx="0">
                  <c:v>1.53</c:v>
                </c:pt>
                <c:pt idx="1">
                  <c:v>1.44</c:v>
                </c:pt>
                <c:pt idx="2">
                  <c:v>1.57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9752"/>
        <c:crosses val="autoZero"/>
        <c:auto val="1"/>
        <c:lblOffset val="100"/>
        <c:tickLblSkip val="1"/>
        <c:noMultiLvlLbl val="0"/>
      </c:catAx>
      <c:valAx>
        <c:axId val="61769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2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007"/>
          <c:w val="0.09325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Données surveillance des prix eaux usées</a:t>
            </a:r>
          </a:p>
        </c:rich>
      </c:tx>
      <c:layout>
        <c:manualLayout>
          <c:xMode val="factor"/>
          <c:yMode val="factor"/>
          <c:x val="0.047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6225"/>
          <c:w val="0.9415"/>
          <c:h val="0.90025"/>
        </c:manualLayout>
      </c:layout>
      <c:lineChart>
        <c:grouping val="standard"/>
        <c:varyColors val="0"/>
        <c:ser>
          <c:idx val="3"/>
          <c:order val="0"/>
          <c:tx>
            <c:strRef>
              <c:f>'Monsieur prix comparatif L'!$B$10</c:f>
              <c:strCache>
                <c:ptCount val="1"/>
                <c:pt idx="0">
                  <c:v>75e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L'!$L$10:$N$10</c:f>
              <c:numCache>
                <c:ptCount val="3"/>
                <c:pt idx="0">
                  <c:v>2.57</c:v>
                </c:pt>
                <c:pt idx="1">
                  <c:v>2.48</c:v>
                </c:pt>
                <c:pt idx="2">
                  <c:v>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'Monsieur prix comparatif L'!$B$11</c:f>
              <c:strCache>
                <c:ptCount val="1"/>
                <c:pt idx="0">
                  <c:v>Max.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L'!$L$11:$N$11</c:f>
              <c:numCache>
                <c:ptCount val="3"/>
                <c:pt idx="0">
                  <c:v>5.98</c:v>
                </c:pt>
                <c:pt idx="1">
                  <c:v>4.89</c:v>
                </c:pt>
                <c:pt idx="2">
                  <c:v>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'Monsieur prix comparatif L'!$B$7</c:f>
              <c:strCache>
                <c:ptCount val="1"/>
                <c:pt idx="0">
                  <c:v>Min.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L'!$L$7:$N$7</c:f>
              <c:numCache>
                <c:ptCount val="3"/>
                <c:pt idx="0">
                  <c:v>0.5</c:v>
                </c:pt>
                <c:pt idx="1">
                  <c:v>0.31</c:v>
                </c:pt>
                <c:pt idx="2">
                  <c:v>0.31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'Monsieur prix comparatif L'!$B$19</c:f>
              <c:strCache>
                <c:ptCount val="1"/>
                <c:pt idx="0">
                  <c:v>Vous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L'!$L$19:$N$19</c:f>
              <c:numCache>
                <c:ptCount val="3"/>
                <c:pt idx="0">
                  <c:v>3.867272727272727</c:v>
                </c:pt>
                <c:pt idx="1">
                  <c:v>3.867272727272727</c:v>
                </c:pt>
                <c:pt idx="2">
                  <c:v>3.867272727272727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'Monsieur prix comparatif L'!$B$26</c:f>
              <c:strCache>
                <c:ptCount val="1"/>
                <c:pt idx="0">
                  <c:v>Ménage type en 2020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FFCC00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L'!$L$26:$N$26</c:f>
              <c:numCache>
                <c:ptCount val="3"/>
                <c:pt idx="0">
                  <c:v>3.867272727272727</c:v>
                </c:pt>
                <c:pt idx="1">
                  <c:v>2.9516129032258065</c:v>
                </c:pt>
                <c:pt idx="2">
                  <c:v>3.4419047619047616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'Monsieur prix comparatif L'!$B$18</c:f>
              <c:strCache>
                <c:ptCount val="1"/>
                <c:pt idx="0">
                  <c:v>Vous en 2019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L'!$L$18:$N$18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'Monsieur prix comparatif L'!$B$12</c:f>
              <c:strCache>
                <c:ptCount val="1"/>
                <c:pt idx="0">
                  <c:v>Moyenne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aderLines val="1"/>
          </c:dLbls>
          <c:val>
            <c:numRef>
              <c:f>'Monsieur prix comparatif L'!$L$12:$N$12</c:f>
              <c:numCache>
                <c:ptCount val="3"/>
                <c:pt idx="0">
                  <c:v>2.18</c:v>
                </c:pt>
                <c:pt idx="1">
                  <c:v>1.97</c:v>
                </c:pt>
                <c:pt idx="2">
                  <c:v>2.16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'Monsieur prix comparatif L'!$B$9</c:f>
              <c:strCache>
                <c:ptCount val="1"/>
                <c:pt idx="0">
                  <c:v>Médiane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'Monsieur prix comparatif L'!$L$9:$N$9</c:f>
              <c:numCache>
                <c:ptCount val="3"/>
                <c:pt idx="0">
                  <c:v>2.06</c:v>
                </c:pt>
                <c:pt idx="1">
                  <c:v>1.9</c:v>
                </c:pt>
                <c:pt idx="2">
                  <c:v>2.1</c:v>
                </c:pt>
              </c:numCache>
            </c:numRef>
          </c:val>
          <c:smooth val="0"/>
        </c:ser>
        <c:ser>
          <c:idx val="0"/>
          <c:order val="8"/>
          <c:tx>
            <c:strRef>
              <c:f>'Monsieur prix comparatif L'!$B$8</c:f>
              <c:strCache>
                <c:ptCount val="1"/>
                <c:pt idx="0">
                  <c:v>25e percentile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aderLines val="1"/>
          </c:dLbls>
          <c:cat>
            <c:strRef>
              <c:f>'Monsieur prix comparatif P'!$D$5:$F$5</c:f>
              <c:strCache>
                <c:ptCount val="3"/>
                <c:pt idx="0">
                  <c:v>Ménage d'une personne vivant dans un 2 pièces</c:v>
                </c:pt>
                <c:pt idx="1">
                  <c:v>Ménage de trois personnes vivant dans un 4 pièces</c:v>
                </c:pt>
                <c:pt idx="2">
                  <c:v>Ménage de quatre personnes vivant dans une maison individuelle (6 pièces)</c:v>
                </c:pt>
              </c:strCache>
            </c:strRef>
          </c:cat>
          <c:val>
            <c:numRef>
              <c:f>'Monsieur prix comparatif L'!$L$8:$N$8</c:f>
              <c:numCache>
                <c:ptCount val="3"/>
                <c:pt idx="0">
                  <c:v>1.53</c:v>
                </c:pt>
                <c:pt idx="1">
                  <c:v>1.44</c:v>
                </c:pt>
                <c:pt idx="2">
                  <c:v>1.57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8EB4E3">
                  <a:alpha val="40000"/>
                </a:srgbClr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[CHF/m3]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6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25"/>
          <c:y val="0.00825"/>
          <c:w val="0.09325"/>
          <c:h val="0.2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0.82175</cdr:x>
      <cdr:y>0.956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705725" y="5886450"/>
          <a:ext cx="1676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0.9535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5876925"/>
          <a:ext cx="1790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0.95425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724775" y="5886450"/>
          <a:ext cx="1666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</cdr:x>
      <cdr:y>0.957</cdr:y>
    </cdr:from>
    <cdr:to>
      <cdr:x>0.99975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658100" y="5895975"/>
          <a:ext cx="1714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0.95475</cdr:y>
    </cdr:from>
    <cdr:to>
      <cdr:x>0.99975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686675" y="5886450"/>
          <a:ext cx="1704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</cdr:x>
      <cdr:y>0.956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7591425" y="5886450"/>
          <a:ext cx="1781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GCB octobre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isvergleiche.preisueberwacher.admin.ch/resource/pdf/Types%20de%20m%C3%A9nage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sins.ch/wp-content/uploads/2015/11/RGD_bassins_aou%5Et_2015_v2.pdf" TargetMode="External" /><Relationship Id="rId2" Type="http://schemas.openxmlformats.org/officeDocument/2006/relationships/hyperlink" Target="https://www.bassins.ch/wp-content/uploads/2016/12/Directive_d%C3%A9chets_2016.pdf" TargetMode="External" /><Relationship Id="rId3" Type="http://schemas.openxmlformats.org/officeDocument/2006/relationships/hyperlink" Target="https://www.bassins.ch/wp-content/uploads/2016/12/R%C3%A8glement_d%C3%A9chets_2016.pdf" TargetMode="External" /><Relationship Id="rId4" Type="http://schemas.openxmlformats.org/officeDocument/2006/relationships/hyperlink" Target="https://www.bassins.ch/wp-content/uploads/2017/12/2017-12-04.pdf" TargetMode="External" /><Relationship Id="rId5" Type="http://schemas.openxmlformats.org/officeDocument/2006/relationships/hyperlink" Target="http://www.gcbassins.ch/Documents/TmpDel/Pr%C3%A9avis9.15OEaux.pdf" TargetMode="External" /><Relationship Id="rId6" Type="http://schemas.openxmlformats.org/officeDocument/2006/relationships/hyperlink" Target="https://www.bassins.ch/wp-content/uploads/2016/12/R%C3%A8glement_%C3%A9puration_1997.pdf" TargetMode="External" /><Relationship Id="rId7" Type="http://schemas.openxmlformats.org/officeDocument/2006/relationships/hyperlink" Target="http://www.bassins.ch/wp-content/uploads/2016/12/Prix_eau_2016-2017.pdf" TargetMode="External" /><Relationship Id="rId8" Type="http://schemas.openxmlformats.org/officeDocument/2006/relationships/hyperlink" Target="http://www.pisepub.vd.ch/" TargetMode="External" /><Relationship Id="rId9" Type="http://schemas.openxmlformats.org/officeDocument/2006/relationships/hyperlink" Target="https://www.bassins.ch/wp-content/uploads/2019/10/13.19.pdf" TargetMode="External" /><Relationship Id="rId10" Type="http://schemas.openxmlformats.org/officeDocument/2006/relationships/hyperlink" Target="http://www.gcbassins.ch/Documents/TmpDel/Pr%C3%A9avis9.15OEaux.pdf" TargetMode="Externa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ssins.ch/wp-content/uploads/2019/10/13.19-1.pdf" TargetMode="External" /><Relationship Id="rId2" Type="http://schemas.openxmlformats.org/officeDocument/2006/relationships/hyperlink" Target="mailto:contact@gcbassins.ch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ssins.ch/wp-content/uploads/2019/10/13.19-1.pdf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isvergleiche.preisueberwacher.admin.ch/?l=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isvergleiche.preisueberwacher.admin.ch/?l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45.28125" style="0" customWidth="1"/>
    <col min="2" max="2" width="18.7109375" style="0" customWidth="1"/>
    <col min="3" max="4" width="18.28125" style="0" customWidth="1"/>
  </cols>
  <sheetData>
    <row r="1" ht="59.25">
      <c r="A1" s="51" t="s">
        <v>114</v>
      </c>
    </row>
    <row r="2" ht="12.75">
      <c r="A2" s="101" t="s">
        <v>187</v>
      </c>
    </row>
    <row r="4" spans="2:4" ht="12.75">
      <c r="B4" s="99" t="s">
        <v>5</v>
      </c>
      <c r="C4" s="99" t="s">
        <v>4</v>
      </c>
      <c r="D4" s="99" t="s">
        <v>6</v>
      </c>
    </row>
    <row r="5" spans="2:6" ht="12.75">
      <c r="B5" s="6" t="s">
        <v>3</v>
      </c>
      <c r="C5" s="6" t="s">
        <v>0</v>
      </c>
      <c r="D5" s="6" t="s">
        <v>26</v>
      </c>
      <c r="F5" s="8"/>
    </row>
    <row r="6" spans="1:4" ht="12.75">
      <c r="A6" s="2" t="s">
        <v>1</v>
      </c>
      <c r="B6" s="3"/>
      <c r="C6" s="3"/>
      <c r="D6" s="3"/>
    </row>
    <row r="7" spans="1:4" ht="12.75">
      <c r="A7" s="3" t="s">
        <v>11</v>
      </c>
      <c r="B7" s="3">
        <v>1</v>
      </c>
      <c r="C7" s="3">
        <v>3</v>
      </c>
      <c r="D7" s="3">
        <v>4</v>
      </c>
    </row>
    <row r="8" spans="1:4" ht="12.75">
      <c r="A8" s="3" t="s">
        <v>12</v>
      </c>
      <c r="B8" s="3">
        <v>2</v>
      </c>
      <c r="C8" s="3">
        <v>4</v>
      </c>
      <c r="D8" s="3">
        <v>6</v>
      </c>
    </row>
    <row r="9" spans="1:4" ht="12.75">
      <c r="A9" s="3" t="s">
        <v>10</v>
      </c>
      <c r="B9" s="3">
        <v>55</v>
      </c>
      <c r="C9" s="3">
        <v>100</v>
      </c>
      <c r="D9" s="3">
        <v>150</v>
      </c>
    </row>
    <row r="10" spans="1:4" ht="12.75">
      <c r="A10" s="100" t="s">
        <v>13</v>
      </c>
      <c r="B10" s="100">
        <v>69</v>
      </c>
      <c r="C10" s="100">
        <v>125</v>
      </c>
      <c r="D10" s="100">
        <v>188</v>
      </c>
    </row>
    <row r="11" spans="1:4" ht="12.75">
      <c r="A11" s="3" t="s">
        <v>14</v>
      </c>
      <c r="B11" s="5">
        <v>234000</v>
      </c>
      <c r="C11" s="5">
        <v>425000</v>
      </c>
      <c r="D11" s="5">
        <v>700000</v>
      </c>
    </row>
    <row r="12" spans="1:4" ht="12.75">
      <c r="A12" s="3" t="s">
        <v>15</v>
      </c>
      <c r="B12" s="5">
        <v>163800</v>
      </c>
      <c r="C12" s="5">
        <v>297500</v>
      </c>
      <c r="D12" s="5">
        <v>490000</v>
      </c>
    </row>
    <row r="13" spans="1:4" ht="12.75">
      <c r="A13" s="3" t="s">
        <v>16</v>
      </c>
      <c r="B13" s="3">
        <v>16.3</v>
      </c>
      <c r="C13" s="3">
        <v>25</v>
      </c>
      <c r="D13" s="3">
        <v>42</v>
      </c>
    </row>
    <row r="14" spans="1:4" ht="12.75">
      <c r="A14" s="19" t="s">
        <v>100</v>
      </c>
      <c r="B14" s="3">
        <v>14.7</v>
      </c>
      <c r="C14" s="3">
        <v>23</v>
      </c>
      <c r="D14" s="3">
        <v>38</v>
      </c>
    </row>
    <row r="15" spans="1:4" ht="12.75">
      <c r="A15" s="3" t="s">
        <v>17</v>
      </c>
      <c r="B15" s="3">
        <v>43</v>
      </c>
      <c r="C15" s="3">
        <v>129</v>
      </c>
      <c r="D15" s="3">
        <v>172</v>
      </c>
    </row>
    <row r="16" spans="1:4" ht="12.75">
      <c r="A16" s="100" t="s">
        <v>18</v>
      </c>
      <c r="B16" s="100">
        <v>210</v>
      </c>
      <c r="C16" s="100">
        <v>631</v>
      </c>
      <c r="D16" s="100">
        <v>841</v>
      </c>
    </row>
    <row r="17" spans="1:4" ht="12.75">
      <c r="A17" s="100" t="s">
        <v>19</v>
      </c>
      <c r="B17" s="100">
        <v>55</v>
      </c>
      <c r="C17" s="100">
        <v>155</v>
      </c>
      <c r="D17" s="100">
        <v>210</v>
      </c>
    </row>
    <row r="18" spans="1:4" ht="12.75">
      <c r="A18" s="101" t="s">
        <v>188</v>
      </c>
      <c r="B18" s="100">
        <v>1</v>
      </c>
      <c r="C18" s="100">
        <v>2</v>
      </c>
      <c r="D18" s="100">
        <v>2</v>
      </c>
    </row>
    <row r="19" spans="1:4" ht="12.75">
      <c r="A19" s="101" t="s">
        <v>189</v>
      </c>
      <c r="B19" s="100">
        <v>0</v>
      </c>
      <c r="C19" s="100">
        <v>1</v>
      </c>
      <c r="D19" s="100">
        <v>2</v>
      </c>
    </row>
    <row r="20" spans="1:4" ht="12.75">
      <c r="A20" s="49" t="s">
        <v>158</v>
      </c>
      <c r="B20" s="77">
        <f>B16/B15</f>
        <v>4.883720930232558</v>
      </c>
      <c r="C20" s="77">
        <f>C16/C15</f>
        <v>4.891472868217054</v>
      </c>
      <c r="D20" s="77">
        <f>D16/D15</f>
        <v>4.8895348837209305</v>
      </c>
    </row>
    <row r="21" spans="1:4" ht="12.75">
      <c r="A21" s="48"/>
      <c r="B21" s="48"/>
      <c r="C21" s="48"/>
      <c r="D21" s="48"/>
    </row>
    <row r="22" spans="1:4" ht="12.75">
      <c r="A22" s="2" t="s">
        <v>2</v>
      </c>
      <c r="B22" s="3"/>
      <c r="C22" s="3"/>
      <c r="D22" s="3"/>
    </row>
    <row r="23" spans="1:4" ht="12.75">
      <c r="A23" s="3" t="s">
        <v>20</v>
      </c>
      <c r="B23" s="3">
        <v>5</v>
      </c>
      <c r="C23" s="3">
        <v>3</v>
      </c>
      <c r="D23" s="3">
        <v>2</v>
      </c>
    </row>
    <row r="24" spans="1:4" ht="12.75">
      <c r="A24" s="19" t="s">
        <v>122</v>
      </c>
      <c r="B24" s="3">
        <v>15</v>
      </c>
      <c r="C24" s="3">
        <v>5</v>
      </c>
      <c r="D24" s="3">
        <v>1</v>
      </c>
    </row>
    <row r="25" spans="1:4" ht="12.75">
      <c r="A25" s="3" t="s">
        <v>21</v>
      </c>
      <c r="B25" s="3">
        <v>1175</v>
      </c>
      <c r="C25" s="3">
        <v>460</v>
      </c>
      <c r="D25" s="3">
        <v>150</v>
      </c>
    </row>
    <row r="26" spans="1:4" ht="12.75">
      <c r="A26" s="19" t="s">
        <v>101</v>
      </c>
      <c r="B26" s="3">
        <v>1469</v>
      </c>
      <c r="C26" s="3">
        <v>575</v>
      </c>
      <c r="D26" s="3">
        <v>188</v>
      </c>
    </row>
    <row r="27" spans="1:4" ht="12.75">
      <c r="A27" s="3" t="s">
        <v>22</v>
      </c>
      <c r="B27" s="5">
        <v>5000000</v>
      </c>
      <c r="C27" s="5">
        <v>2000000</v>
      </c>
      <c r="D27" s="5">
        <v>700000</v>
      </c>
    </row>
    <row r="28" spans="1:4" ht="12.75">
      <c r="A28" s="3" t="s">
        <v>23</v>
      </c>
      <c r="B28" s="3">
        <v>1500</v>
      </c>
      <c r="C28" s="3">
        <v>900</v>
      </c>
      <c r="D28" s="3">
        <v>700</v>
      </c>
    </row>
    <row r="29" spans="1:4" ht="12.75">
      <c r="A29" s="101" t="s">
        <v>104</v>
      </c>
      <c r="B29" s="100">
        <v>610</v>
      </c>
      <c r="C29" s="100">
        <v>300</v>
      </c>
      <c r="D29" s="100">
        <v>150</v>
      </c>
    </row>
    <row r="30" spans="1:4" ht="12.75">
      <c r="A30" s="19" t="s">
        <v>103</v>
      </c>
      <c r="B30" s="3">
        <v>41</v>
      </c>
      <c r="C30" s="3">
        <v>33</v>
      </c>
      <c r="D30" s="3">
        <v>21</v>
      </c>
    </row>
    <row r="31" spans="1:4" ht="12.75">
      <c r="A31" s="19" t="s">
        <v>102</v>
      </c>
      <c r="B31" s="3">
        <v>260</v>
      </c>
      <c r="C31" s="3">
        <v>200</v>
      </c>
      <c r="D31" s="3">
        <v>120</v>
      </c>
    </row>
    <row r="32" spans="1:4" ht="12.75">
      <c r="A32" s="19" t="s">
        <v>105</v>
      </c>
      <c r="B32" s="3">
        <v>25</v>
      </c>
      <c r="C32" s="3">
        <v>20</v>
      </c>
      <c r="D32" s="3">
        <v>20</v>
      </c>
    </row>
    <row r="33" spans="1:4" ht="12.75">
      <c r="A33" s="19" t="s">
        <v>106</v>
      </c>
      <c r="B33" s="3">
        <v>1</v>
      </c>
      <c r="C33" s="42" t="s">
        <v>107</v>
      </c>
      <c r="D33" s="42" t="s">
        <v>107</v>
      </c>
    </row>
    <row r="34" spans="1:4" ht="12.75">
      <c r="A34" s="43" t="s">
        <v>108</v>
      </c>
      <c r="B34" s="45">
        <v>7</v>
      </c>
      <c r="C34" s="44">
        <v>5</v>
      </c>
      <c r="D34" s="44">
        <v>5</v>
      </c>
    </row>
    <row r="35" spans="1:4" ht="12.75">
      <c r="A35" s="43" t="s">
        <v>109</v>
      </c>
      <c r="B35" s="46">
        <v>3.5</v>
      </c>
      <c r="C35" s="47">
        <v>2.5</v>
      </c>
      <c r="D35" s="47">
        <v>2.5</v>
      </c>
    </row>
    <row r="36" spans="1:4" ht="12.75">
      <c r="A36" s="43" t="s">
        <v>110</v>
      </c>
      <c r="B36" s="45">
        <v>331</v>
      </c>
      <c r="C36" s="44">
        <v>125</v>
      </c>
      <c r="D36" s="44">
        <v>42</v>
      </c>
    </row>
    <row r="37" spans="1:4" ht="12.75">
      <c r="A37" s="43" t="s">
        <v>111</v>
      </c>
      <c r="B37" s="46">
        <v>88.3</v>
      </c>
      <c r="C37" s="47">
        <v>65.7</v>
      </c>
      <c r="D37" s="47">
        <v>50.6</v>
      </c>
    </row>
    <row r="38" spans="1:4" ht="12.75">
      <c r="A38" s="43" t="s">
        <v>112</v>
      </c>
      <c r="B38" s="45">
        <v>300</v>
      </c>
      <c r="C38" s="44">
        <v>105</v>
      </c>
      <c r="D38" s="44">
        <v>38</v>
      </c>
    </row>
    <row r="39" spans="1:4" ht="12.75">
      <c r="A39" s="3" t="s">
        <v>7</v>
      </c>
      <c r="B39" s="3">
        <v>1820</v>
      </c>
      <c r="C39" s="3">
        <v>720</v>
      </c>
      <c r="D39" s="3">
        <v>250</v>
      </c>
    </row>
    <row r="40" spans="1:4" ht="12.75">
      <c r="A40" s="3" t="s">
        <v>24</v>
      </c>
      <c r="B40" s="3">
        <v>5460</v>
      </c>
      <c r="C40" s="3">
        <v>2160</v>
      </c>
      <c r="D40" s="3">
        <v>750</v>
      </c>
    </row>
    <row r="41" spans="1:4" ht="12.75">
      <c r="A41" s="19" t="s">
        <v>99</v>
      </c>
      <c r="B41" s="3">
        <v>1650</v>
      </c>
      <c r="C41" s="3">
        <v>550</v>
      </c>
      <c r="D41" s="3">
        <v>210</v>
      </c>
    </row>
    <row r="42" spans="1:4" ht="12.75">
      <c r="A42" s="49" t="s">
        <v>113</v>
      </c>
      <c r="B42" s="50">
        <v>45</v>
      </c>
      <c r="C42" s="50">
        <v>18</v>
      </c>
      <c r="D42" s="50">
        <v>6</v>
      </c>
    </row>
    <row r="44" ht="12.75">
      <c r="A44" s="38" t="s">
        <v>25</v>
      </c>
    </row>
    <row r="45" ht="12.75">
      <c r="A45" s="38" t="s">
        <v>119</v>
      </c>
    </row>
    <row r="46" ht="12.75">
      <c r="A46" t="s">
        <v>8</v>
      </c>
    </row>
    <row r="47" ht="12.75">
      <c r="A47" s="4" t="s">
        <v>9</v>
      </c>
    </row>
  </sheetData>
  <sheetProtection/>
  <hyperlinks>
    <hyperlink ref="A47" r:id="rId1" display="http://www.preisvergleiche.preisueberwacher.admin.ch/resource/pdf/Types%20de%20m%C3%A9nage.pdf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K22" sqref="K22"/>
    </sheetView>
  </sheetViews>
  <sheetFormatPr defaultColWidth="11.421875" defaultRowHeight="12.75"/>
  <cols>
    <col min="1" max="1" width="57.28125" style="0" customWidth="1"/>
    <col min="2" max="2" width="12.421875" style="0" customWidth="1"/>
    <col min="3" max="3" width="12.7109375" style="0" customWidth="1"/>
    <col min="4" max="7" width="12.57421875" style="0" customWidth="1"/>
  </cols>
  <sheetData>
    <row r="1" spans="1:7" ht="12.75">
      <c r="A1" s="1" t="s">
        <v>38</v>
      </c>
      <c r="B1" t="s">
        <v>37</v>
      </c>
      <c r="C1" t="s">
        <v>45</v>
      </c>
      <c r="D1" t="s">
        <v>55</v>
      </c>
      <c r="E1" s="38" t="s">
        <v>94</v>
      </c>
      <c r="F1" s="38" t="s">
        <v>95</v>
      </c>
      <c r="G1" t="s">
        <v>116</v>
      </c>
    </row>
    <row r="2" ht="12.75">
      <c r="A2" s="1" t="s">
        <v>115</v>
      </c>
    </row>
    <row r="3" spans="1:8" ht="12.75">
      <c r="A3" t="s">
        <v>84</v>
      </c>
      <c r="B3" s="72">
        <v>1.7</v>
      </c>
      <c r="C3" s="72">
        <f>(1.7*8+2.9*4)/12</f>
        <v>2.1</v>
      </c>
      <c r="D3" s="72">
        <v>2.7</v>
      </c>
      <c r="E3" s="72">
        <v>2.2</v>
      </c>
      <c r="F3" s="72">
        <v>2.2</v>
      </c>
      <c r="G3" s="72">
        <v>1.6</v>
      </c>
      <c r="H3" t="s">
        <v>85</v>
      </c>
    </row>
    <row r="4" spans="1:7" ht="12.75">
      <c r="A4" t="s">
        <v>51</v>
      </c>
      <c r="B4" s="72">
        <v>100</v>
      </c>
      <c r="C4" s="72">
        <v>70</v>
      </c>
      <c r="D4" s="72">
        <v>0</v>
      </c>
      <c r="E4" s="72">
        <v>0</v>
      </c>
      <c r="F4" s="72">
        <v>0</v>
      </c>
      <c r="G4" s="72">
        <v>0</v>
      </c>
    </row>
    <row r="5" spans="1:8" ht="12.75">
      <c r="A5" t="s">
        <v>154</v>
      </c>
      <c r="B5" s="72">
        <v>0</v>
      </c>
      <c r="C5" s="72">
        <f>(0*8+85*4)/12</f>
        <v>28.333333333333332</v>
      </c>
      <c r="D5" s="72">
        <v>85</v>
      </c>
      <c r="E5" s="72">
        <v>85</v>
      </c>
      <c r="F5" s="72">
        <v>85</v>
      </c>
      <c r="G5" s="72">
        <v>85</v>
      </c>
      <c r="H5" t="s">
        <v>89</v>
      </c>
    </row>
    <row r="6" spans="1:8" ht="12.75">
      <c r="A6" t="s">
        <v>153</v>
      </c>
      <c r="B6" s="72">
        <v>45</v>
      </c>
      <c r="C6" s="72">
        <f>(45*8+30*4)/12</f>
        <v>40</v>
      </c>
      <c r="D6" s="72">
        <v>30</v>
      </c>
      <c r="E6" s="72">
        <v>30</v>
      </c>
      <c r="F6" s="72">
        <v>30</v>
      </c>
      <c r="G6" s="72">
        <v>30</v>
      </c>
      <c r="H6" t="s">
        <v>89</v>
      </c>
    </row>
    <row r="7" spans="1:7" ht="12.75">
      <c r="A7" t="s">
        <v>49</v>
      </c>
      <c r="B7" s="72">
        <v>33.5</v>
      </c>
      <c r="C7" s="72">
        <v>0</v>
      </c>
      <c r="D7" s="72">
        <v>0</v>
      </c>
      <c r="E7" s="72">
        <v>0</v>
      </c>
      <c r="F7" s="72">
        <v>0</v>
      </c>
      <c r="G7" s="72">
        <v>60</v>
      </c>
    </row>
    <row r="8" spans="1:7" ht="12.75">
      <c r="A8" t="s">
        <v>50</v>
      </c>
      <c r="B8" s="72">
        <v>0</v>
      </c>
      <c r="C8" s="72">
        <v>15</v>
      </c>
      <c r="D8" s="72">
        <v>15</v>
      </c>
      <c r="E8" s="72">
        <v>15</v>
      </c>
      <c r="F8" s="72">
        <v>15</v>
      </c>
      <c r="G8" s="72">
        <v>15</v>
      </c>
    </row>
    <row r="9" spans="2:7" ht="12.75">
      <c r="B9" s="31"/>
      <c r="C9" s="31"/>
      <c r="D9" s="31"/>
      <c r="E9" s="31"/>
      <c r="F9" s="31"/>
      <c r="G9" s="31"/>
    </row>
    <row r="10" spans="1:8" ht="12.75">
      <c r="A10" s="114" t="s">
        <v>44</v>
      </c>
      <c r="B10" s="137" t="s">
        <v>52</v>
      </c>
      <c r="C10" s="138"/>
      <c r="D10" s="138"/>
      <c r="E10" s="138"/>
      <c r="F10" s="138"/>
      <c r="G10" s="138"/>
      <c r="H10" s="138"/>
    </row>
    <row r="11" spans="1:8" ht="12.75">
      <c r="A11" s="114"/>
      <c r="B11" s="4"/>
      <c r="C11" s="113"/>
      <c r="D11" s="113"/>
      <c r="E11" s="113"/>
      <c r="F11" s="113"/>
      <c r="G11" s="113"/>
      <c r="H11" s="113"/>
    </row>
    <row r="12" ht="12.75">
      <c r="B12" s="4"/>
    </row>
    <row r="13" ht="12.75">
      <c r="A13" s="1" t="s">
        <v>54</v>
      </c>
    </row>
    <row r="14" spans="1:7" s="38" customFormat="1" ht="12.75">
      <c r="A14" s="38" t="s">
        <v>214</v>
      </c>
      <c r="B14" s="73">
        <v>25</v>
      </c>
      <c r="C14" s="73">
        <v>25</v>
      </c>
      <c r="D14" s="73">
        <v>25</v>
      </c>
      <c r="E14" s="73">
        <v>25</v>
      </c>
      <c r="F14" s="73">
        <v>25</v>
      </c>
      <c r="G14" s="73">
        <v>30</v>
      </c>
    </row>
    <row r="15" spans="1:7" s="38" customFormat="1" ht="12.75">
      <c r="A15" s="38" t="s">
        <v>213</v>
      </c>
      <c r="B15" s="73">
        <f>B14/3</f>
        <v>8.333333333333334</v>
      </c>
      <c r="C15" s="73">
        <f>C14/3</f>
        <v>8.333333333333334</v>
      </c>
      <c r="D15" s="73">
        <f>D14/3</f>
        <v>8.333333333333334</v>
      </c>
      <c r="E15" s="73">
        <f>E14/3</f>
        <v>8.333333333333334</v>
      </c>
      <c r="F15" s="73">
        <f>F14/3</f>
        <v>8.333333333333334</v>
      </c>
      <c r="G15" s="73">
        <v>30</v>
      </c>
    </row>
    <row r="16" spans="1:7" ht="12.75">
      <c r="A16" t="s">
        <v>96</v>
      </c>
      <c r="B16" s="72">
        <v>2</v>
      </c>
      <c r="C16" s="72">
        <v>2</v>
      </c>
      <c r="D16" s="72">
        <v>2</v>
      </c>
      <c r="E16" s="72">
        <v>2</v>
      </c>
      <c r="F16" s="72">
        <v>2</v>
      </c>
      <c r="G16" s="72">
        <v>1.6</v>
      </c>
    </row>
    <row r="17" spans="1:7" ht="12.75">
      <c r="A17" s="38" t="s">
        <v>53</v>
      </c>
      <c r="B17" s="72">
        <v>100</v>
      </c>
      <c r="C17" s="72">
        <v>70</v>
      </c>
      <c r="D17" s="73">
        <v>50</v>
      </c>
      <c r="E17" s="73">
        <v>50</v>
      </c>
      <c r="F17" s="73">
        <v>50</v>
      </c>
      <c r="G17" s="73">
        <v>50</v>
      </c>
    </row>
    <row r="18" spans="1:7" ht="12.75">
      <c r="A18" s="38" t="s">
        <v>242</v>
      </c>
      <c r="B18" s="72"/>
      <c r="C18" s="72"/>
      <c r="D18" s="117"/>
      <c r="E18" s="117"/>
      <c r="F18" s="117"/>
      <c r="G18" s="72">
        <v>80</v>
      </c>
    </row>
    <row r="19" spans="1:7" ht="12.75">
      <c r="A19" s="38" t="s">
        <v>243</v>
      </c>
      <c r="B19" s="72"/>
      <c r="C19" s="72"/>
      <c r="D19" s="117"/>
      <c r="E19" s="117"/>
      <c r="F19" s="117"/>
      <c r="G19" s="72">
        <v>60</v>
      </c>
    </row>
    <row r="20" spans="1:7" ht="12.75">
      <c r="A20" t="s">
        <v>73</v>
      </c>
      <c r="B20" s="72">
        <v>0</v>
      </c>
      <c r="C20" s="72">
        <v>9</v>
      </c>
      <c r="D20" s="72">
        <v>0</v>
      </c>
      <c r="E20" s="72">
        <v>0</v>
      </c>
      <c r="F20" s="72">
        <v>0</v>
      </c>
      <c r="G20" s="72">
        <v>0</v>
      </c>
    </row>
    <row r="21" spans="1:7" ht="12.75">
      <c r="A21" t="s">
        <v>134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1.1</v>
      </c>
    </row>
    <row r="22" spans="1:7" ht="12.75">
      <c r="A22" t="s">
        <v>97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1.2</v>
      </c>
    </row>
    <row r="24" spans="1:8" ht="12.75">
      <c r="A24" s="134" t="s">
        <v>44</v>
      </c>
      <c r="B24" s="137" t="s">
        <v>92</v>
      </c>
      <c r="C24" s="138"/>
      <c r="D24" s="138"/>
      <c r="E24" s="138"/>
      <c r="F24" s="138"/>
      <c r="G24" s="138"/>
      <c r="H24" s="138"/>
    </row>
    <row r="25" spans="1:8" ht="12.75">
      <c r="A25" s="134"/>
      <c r="B25" s="137" t="s">
        <v>216</v>
      </c>
      <c r="C25" s="137"/>
      <c r="D25" s="137"/>
      <c r="E25" s="137"/>
      <c r="F25" s="137"/>
      <c r="G25" s="137"/>
      <c r="H25" s="137"/>
    </row>
    <row r="26" spans="1:8" ht="12.75">
      <c r="A26" s="134"/>
      <c r="B26" s="137" t="s">
        <v>215</v>
      </c>
      <c r="C26" s="138"/>
      <c r="D26" s="138"/>
      <c r="E26" s="138"/>
      <c r="F26" s="138"/>
      <c r="G26" s="138"/>
      <c r="H26" s="138"/>
    </row>
    <row r="27" ht="12.75">
      <c r="A27" s="1" t="s">
        <v>39</v>
      </c>
    </row>
    <row r="28" spans="1:7" ht="12.75">
      <c r="A28" s="38" t="s">
        <v>40</v>
      </c>
      <c r="B28" s="72">
        <v>0.85</v>
      </c>
      <c r="C28" s="72">
        <v>0.85</v>
      </c>
      <c r="D28" s="72">
        <v>0.85</v>
      </c>
      <c r="E28" s="72">
        <v>0.85</v>
      </c>
      <c r="F28" s="72">
        <v>0.85</v>
      </c>
      <c r="G28" s="72">
        <v>0.85</v>
      </c>
    </row>
    <row r="29" spans="1:7" ht="12.75">
      <c r="A29" s="38" t="s">
        <v>127</v>
      </c>
      <c r="B29" s="72">
        <v>0.4</v>
      </c>
      <c r="C29" s="72">
        <v>0.4</v>
      </c>
      <c r="D29" s="72">
        <v>0.4</v>
      </c>
      <c r="E29" s="72">
        <v>0.4</v>
      </c>
      <c r="F29" s="72">
        <v>0.4</v>
      </c>
      <c r="G29" s="72">
        <v>0.4</v>
      </c>
    </row>
    <row r="30" spans="1:7" ht="12.75">
      <c r="A30" t="s">
        <v>46</v>
      </c>
      <c r="B30" s="72">
        <v>24</v>
      </c>
      <c r="C30" s="72">
        <v>86</v>
      </c>
      <c r="D30" s="72">
        <v>80</v>
      </c>
      <c r="E30" s="72">
        <v>80</v>
      </c>
      <c r="F30" s="72">
        <v>80</v>
      </c>
      <c r="G30" s="72">
        <v>80</v>
      </c>
    </row>
    <row r="31" spans="1:7" ht="12.75">
      <c r="A31" t="s">
        <v>47</v>
      </c>
      <c r="B31" s="72">
        <v>4</v>
      </c>
      <c r="C31" s="72">
        <v>14</v>
      </c>
      <c r="D31" s="72">
        <v>13</v>
      </c>
      <c r="E31" s="72">
        <v>13</v>
      </c>
      <c r="F31" s="72">
        <v>13</v>
      </c>
      <c r="G31" s="72">
        <v>13</v>
      </c>
    </row>
    <row r="32" spans="1:7" ht="12.75">
      <c r="A32" t="s">
        <v>41</v>
      </c>
      <c r="B32" s="72">
        <v>24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</row>
    <row r="33" spans="1:7" ht="12.75">
      <c r="A33" t="s">
        <v>42</v>
      </c>
      <c r="B33" s="72">
        <v>24</v>
      </c>
      <c r="C33" s="72">
        <v>100</v>
      </c>
      <c r="D33" s="72">
        <v>100</v>
      </c>
      <c r="E33" s="72">
        <v>100</v>
      </c>
      <c r="F33" s="72">
        <v>100</v>
      </c>
      <c r="G33" s="72">
        <v>100</v>
      </c>
    </row>
    <row r="34" spans="1:7" ht="12.75">
      <c r="A34" t="s">
        <v>48</v>
      </c>
      <c r="B34" s="72">
        <v>56</v>
      </c>
      <c r="C34" s="72">
        <v>200</v>
      </c>
      <c r="D34" s="72">
        <v>186</v>
      </c>
      <c r="E34" s="72">
        <v>186</v>
      </c>
      <c r="F34" s="72">
        <v>186</v>
      </c>
      <c r="G34" s="72">
        <v>186</v>
      </c>
    </row>
    <row r="36" spans="1:8" ht="12.75">
      <c r="A36" s="134" t="s">
        <v>44</v>
      </c>
      <c r="B36" s="137" t="s">
        <v>43</v>
      </c>
      <c r="C36" s="138"/>
      <c r="D36" s="138"/>
      <c r="E36" s="138"/>
      <c r="F36" s="138"/>
      <c r="G36" s="138"/>
      <c r="H36" s="138"/>
    </row>
    <row r="37" spans="1:8" ht="12.75">
      <c r="A37" s="134"/>
      <c r="B37" s="137" t="s">
        <v>90</v>
      </c>
      <c r="C37" s="138"/>
      <c r="D37" s="138"/>
      <c r="E37" s="138"/>
      <c r="F37" s="138"/>
      <c r="G37" s="138"/>
      <c r="H37" s="138"/>
    </row>
    <row r="38" spans="1:8" ht="12.75">
      <c r="A38" s="134"/>
      <c r="B38" s="137" t="s">
        <v>91</v>
      </c>
      <c r="C38" s="138"/>
      <c r="D38" s="138"/>
      <c r="E38" s="138"/>
      <c r="F38" s="138"/>
      <c r="G38" s="138"/>
      <c r="H38" s="138"/>
    </row>
    <row r="39" spans="1:8" ht="12.75">
      <c r="A39" s="134"/>
      <c r="B39" s="137" t="s">
        <v>93</v>
      </c>
      <c r="C39" s="138"/>
      <c r="D39" s="138"/>
      <c r="E39" s="138"/>
      <c r="F39" s="138"/>
      <c r="G39" s="138"/>
      <c r="H39" s="138"/>
    </row>
    <row r="40" ht="12.75">
      <c r="B40" s="4"/>
    </row>
    <row r="41" spans="1:7" ht="12.75">
      <c r="A41" t="s">
        <v>209</v>
      </c>
      <c r="B41" s="109">
        <v>35.0386535424669</v>
      </c>
      <c r="C41" s="109">
        <v>36.6167086730912</v>
      </c>
      <c r="D41" s="109">
        <v>38.1753913537431</v>
      </c>
      <c r="E41" s="109">
        <v>37.3610525893377</v>
      </c>
      <c r="F41" s="110">
        <v>37.3610525893377</v>
      </c>
      <c r="G41" s="110">
        <v>37.3610525893377</v>
      </c>
    </row>
    <row r="42" spans="1:7" ht="12.75">
      <c r="A42" s="38" t="s">
        <v>211</v>
      </c>
      <c r="B42" s="108">
        <v>1320</v>
      </c>
      <c r="C42" s="108">
        <v>1311</v>
      </c>
      <c r="D42" s="108">
        <v>1356</v>
      </c>
      <c r="E42" s="108">
        <v>1347</v>
      </c>
      <c r="F42" s="108"/>
      <c r="G42" s="108"/>
    </row>
    <row r="43" spans="1:8" ht="12.75">
      <c r="A43" s="134" t="s">
        <v>44</v>
      </c>
      <c r="B43" s="135" t="s">
        <v>210</v>
      </c>
      <c r="C43" s="136"/>
      <c r="D43" s="136"/>
      <c r="E43" s="136"/>
      <c r="F43" s="136"/>
      <c r="G43" s="136"/>
      <c r="H43" s="136"/>
    </row>
    <row r="44" spans="1:8" ht="12.75">
      <c r="A44" s="134"/>
      <c r="B44" s="123" t="s">
        <v>236</v>
      </c>
      <c r="C44" s="124"/>
      <c r="D44" s="124"/>
      <c r="E44" s="124"/>
      <c r="F44" s="124"/>
      <c r="G44" s="124"/>
      <c r="H44" s="124"/>
    </row>
    <row r="46" spans="1:2" ht="12.75">
      <c r="A46" s="68" t="s">
        <v>165</v>
      </c>
      <c r="B46" s="72"/>
    </row>
    <row r="47" spans="2:7" ht="12.75">
      <c r="B47" s="97" t="s">
        <v>37</v>
      </c>
      <c r="C47" s="97" t="s">
        <v>45</v>
      </c>
      <c r="D47" s="97" t="s">
        <v>55</v>
      </c>
      <c r="E47" s="98" t="s">
        <v>94</v>
      </c>
      <c r="F47" s="98" t="s">
        <v>95</v>
      </c>
      <c r="G47" s="98" t="s">
        <v>116</v>
      </c>
    </row>
    <row r="48" spans="1:7" ht="12.75">
      <c r="A48" s="96" t="s">
        <v>166</v>
      </c>
      <c r="B48" s="3"/>
      <c r="C48" s="3"/>
      <c r="D48" s="3"/>
      <c r="E48" s="3"/>
      <c r="F48" s="3"/>
      <c r="G48" s="3"/>
    </row>
    <row r="49" spans="1:7" ht="12.75">
      <c r="A49" s="65"/>
      <c r="B49" s="3"/>
      <c r="C49" s="3"/>
      <c r="D49" s="3"/>
      <c r="E49" s="3"/>
      <c r="F49" s="3"/>
      <c r="G49" s="3"/>
    </row>
    <row r="50" spans="1:7" ht="12.75">
      <c r="A50" s="65" t="s">
        <v>167</v>
      </c>
      <c r="B50" s="90">
        <f>'Données ménage type'!$B$17*B$3</f>
        <v>93.5</v>
      </c>
      <c r="C50" s="90">
        <f>'Données ménage type'!$B$17*C$3</f>
        <v>115.5</v>
      </c>
      <c r="D50" s="90">
        <f>'Données ménage type'!$B$17*D$3</f>
        <v>148.5</v>
      </c>
      <c r="E50" s="90">
        <f>'Données ménage type'!$B$17*E$3</f>
        <v>121.00000000000001</v>
      </c>
      <c r="F50" s="90">
        <f>'Données ménage type'!$B$17*F$3</f>
        <v>121.00000000000001</v>
      </c>
      <c r="G50" s="90">
        <f>'Données ménage type'!$B$17*G$3</f>
        <v>88</v>
      </c>
    </row>
    <row r="51" spans="1:7" ht="12.75">
      <c r="A51" s="65" t="s">
        <v>168</v>
      </c>
      <c r="B51" s="90">
        <f>B$5+(B$6/'Données ménage type'!$B$24)</f>
        <v>3</v>
      </c>
      <c r="C51" s="90">
        <f>C$5+(C$6/'Données ménage type'!$B$24)</f>
        <v>31</v>
      </c>
      <c r="D51" s="90">
        <f>D$5+(D$6/'Données ménage type'!$B$24)</f>
        <v>87</v>
      </c>
      <c r="E51" s="90">
        <f>E$5+(E$6/'Données ménage type'!$B$24)</f>
        <v>87</v>
      </c>
      <c r="F51" s="90">
        <f>F$5+(F$6/'Données ménage type'!$B$24)</f>
        <v>87</v>
      </c>
      <c r="G51" s="90">
        <f>G$5+(G$6/'Données ménage type'!$B$24)</f>
        <v>87</v>
      </c>
    </row>
    <row r="52" spans="1:7" ht="12.75">
      <c r="A52" s="65" t="s">
        <v>169</v>
      </c>
      <c r="B52" s="90">
        <f aca="true" t="shared" si="0" ref="B52:G52">B50+B51</f>
        <v>96.5</v>
      </c>
      <c r="C52" s="90">
        <f t="shared" si="0"/>
        <v>146.5</v>
      </c>
      <c r="D52" s="90">
        <f t="shared" si="0"/>
        <v>235.5</v>
      </c>
      <c r="E52" s="90">
        <f t="shared" si="0"/>
        <v>208</v>
      </c>
      <c r="F52" s="90">
        <f t="shared" si="0"/>
        <v>208</v>
      </c>
      <c r="G52" s="90">
        <f t="shared" si="0"/>
        <v>175</v>
      </c>
    </row>
    <row r="53" spans="1:7" ht="12.75">
      <c r="A53" s="96" t="s">
        <v>170</v>
      </c>
      <c r="B53" s="91">
        <f>B52/'Données ménage type'!$B$17</f>
        <v>1.7545454545454546</v>
      </c>
      <c r="C53" s="91">
        <f>C52/'Données ménage type'!$B$17</f>
        <v>2.6636363636363636</v>
      </c>
      <c r="D53" s="91">
        <f>D52/'Données ménage type'!$B$17</f>
        <v>4.281818181818182</v>
      </c>
      <c r="E53" s="91">
        <f>E52/'Données ménage type'!$B$17</f>
        <v>3.7818181818181817</v>
      </c>
      <c r="F53" s="91">
        <f>F52/'Données ménage type'!$B$17</f>
        <v>3.7818181818181817</v>
      </c>
      <c r="G53" s="91">
        <f>G52/'Données ménage type'!$B$17</f>
        <v>3.1818181818181817</v>
      </c>
    </row>
    <row r="54" spans="1:7" ht="12.75">
      <c r="A54" s="65"/>
      <c r="B54" s="3"/>
      <c r="C54" s="3"/>
      <c r="D54" s="3"/>
      <c r="E54" s="3"/>
      <c r="F54" s="3"/>
      <c r="G54" s="3"/>
    </row>
    <row r="55" spans="1:7" ht="12.75">
      <c r="A55" s="65" t="s">
        <v>171</v>
      </c>
      <c r="B55" s="3"/>
      <c r="C55" s="3"/>
      <c r="D55" s="3"/>
      <c r="E55" s="3"/>
      <c r="F55" s="3"/>
      <c r="G55" s="3"/>
    </row>
    <row r="56" spans="1:7" ht="12.75">
      <c r="A56" s="65" t="s">
        <v>172</v>
      </c>
      <c r="B56" s="90">
        <f>'Données ménage type'!$B$17*B$16</f>
        <v>110</v>
      </c>
      <c r="C56" s="90">
        <f>'Données ménage type'!$B$17*C$16</f>
        <v>110</v>
      </c>
      <c r="D56" s="90">
        <f>'Données ménage type'!$B$17*D$16</f>
        <v>110</v>
      </c>
      <c r="E56" s="90">
        <f>'Données ménage type'!$B$17*E$16</f>
        <v>110</v>
      </c>
      <c r="F56" s="90">
        <f>'Données ménage type'!$B$17*F$16</f>
        <v>110</v>
      </c>
      <c r="G56" s="90">
        <f>'Données ménage type'!$B$17*G$16</f>
        <v>88</v>
      </c>
    </row>
    <row r="57" spans="1:7" ht="12.75">
      <c r="A57" s="65" t="s">
        <v>173</v>
      </c>
      <c r="B57" s="90">
        <f>$B$20*'Données ménage type'!$B$7</f>
        <v>0</v>
      </c>
      <c r="C57" s="90">
        <f>$C$20*'Données ménage type'!$B$7</f>
        <v>9</v>
      </c>
      <c r="D57" s="90">
        <f>$D$20*'Données ménage type'!$B$7</f>
        <v>0</v>
      </c>
      <c r="E57" s="90">
        <f>$E$20*'Données ménage type'!$B$7</f>
        <v>0</v>
      </c>
      <c r="F57" s="90">
        <f>$F$20*'Données ménage type'!$B$7</f>
        <v>0</v>
      </c>
      <c r="G57" s="90">
        <f>$G$20*'Données ménage type'!$C$7</f>
        <v>0</v>
      </c>
    </row>
    <row r="58" spans="1:7" ht="12.75">
      <c r="A58" s="65" t="s">
        <v>174</v>
      </c>
      <c r="B58" s="90"/>
      <c r="C58" s="90"/>
      <c r="D58" s="90"/>
      <c r="E58" s="90"/>
      <c r="F58" s="90"/>
      <c r="G58" s="90">
        <f>'Données ménage type'!$B$10*G$21</f>
        <v>75.9</v>
      </c>
    </row>
    <row r="59" spans="1:7" ht="12.75">
      <c r="A59" s="65" t="s">
        <v>97</v>
      </c>
      <c r="B59" s="90"/>
      <c r="C59" s="90"/>
      <c r="D59" s="90"/>
      <c r="E59" s="90"/>
      <c r="F59" s="90"/>
      <c r="G59" s="90">
        <f>'Données ménage type'!$B$29/'Données ménage type'!$B$24*G$22</f>
        <v>48.8</v>
      </c>
    </row>
    <row r="60" spans="1:7" ht="12.75">
      <c r="A60" s="65" t="s">
        <v>169</v>
      </c>
      <c r="B60" s="90">
        <f>B56+B57</f>
        <v>110</v>
      </c>
      <c r="C60" s="90">
        <f>C56+C57</f>
        <v>119</v>
      </c>
      <c r="D60" s="90">
        <f>D56+D57</f>
        <v>110</v>
      </c>
      <c r="E60" s="90">
        <f>E56+E57</f>
        <v>110</v>
      </c>
      <c r="F60" s="90">
        <f>F56+F57</f>
        <v>110</v>
      </c>
      <c r="G60" s="90">
        <f>SUM(G56:G59)</f>
        <v>212.7</v>
      </c>
    </row>
    <row r="61" spans="1:7" ht="12.75">
      <c r="A61" s="96" t="s">
        <v>170</v>
      </c>
      <c r="B61" s="91">
        <f>B60/'Données ménage type'!$B$17</f>
        <v>2</v>
      </c>
      <c r="C61" s="91">
        <f>C60/'Données ménage type'!$B$17</f>
        <v>2.1636363636363636</v>
      </c>
      <c r="D61" s="91">
        <f>D60/'Données ménage type'!$B$17</f>
        <v>2</v>
      </c>
      <c r="E61" s="91">
        <f>E60/'Données ménage type'!$B$17</f>
        <v>2</v>
      </c>
      <c r="F61" s="91">
        <f>F60/'Données ménage type'!$B$17</f>
        <v>2</v>
      </c>
      <c r="G61" s="91">
        <f>G60/'Données ménage type'!$B$17</f>
        <v>3.867272727272727</v>
      </c>
    </row>
    <row r="62" spans="1:7" ht="12.75">
      <c r="A62" s="65"/>
      <c r="B62" s="3"/>
      <c r="C62" s="3"/>
      <c r="D62" s="3"/>
      <c r="E62" s="3"/>
      <c r="F62" s="3"/>
      <c r="G62" s="3"/>
    </row>
    <row r="63" spans="1:7" ht="12.75">
      <c r="A63" s="65"/>
      <c r="B63" s="3"/>
      <c r="C63" s="3"/>
      <c r="D63" s="3"/>
      <c r="E63" s="3"/>
      <c r="F63" s="3"/>
      <c r="G63" s="3"/>
    </row>
    <row r="64" spans="1:7" ht="12.75">
      <c r="A64" s="62" t="s">
        <v>175</v>
      </c>
      <c r="B64" s="3"/>
      <c r="C64" s="3"/>
      <c r="D64" s="3"/>
      <c r="E64" s="3"/>
      <c r="F64" s="3"/>
      <c r="G64" s="3"/>
    </row>
    <row r="65" spans="1:7" ht="12.75">
      <c r="A65" s="62" t="s">
        <v>176</v>
      </c>
      <c r="B65" s="90">
        <f>'Données ménage type'!$B$16*B$28</f>
        <v>178.5</v>
      </c>
      <c r="C65" s="90">
        <f>'Données ménage type'!$B$16*C$28</f>
        <v>178.5</v>
      </c>
      <c r="D65" s="90">
        <f>'Données ménage type'!$B$16*D$28</f>
        <v>178.5</v>
      </c>
      <c r="E65" s="90">
        <f>'Données ménage type'!$B$16*E$28</f>
        <v>178.5</v>
      </c>
      <c r="F65" s="90">
        <f>'Données ménage type'!$B$16*F$28</f>
        <v>178.5</v>
      </c>
      <c r="G65" s="90">
        <f>'Données ménage type'!$B$16*G$28</f>
        <v>178.5</v>
      </c>
    </row>
    <row r="66" spans="1:7" ht="12.75">
      <c r="A66" s="62" t="s">
        <v>177</v>
      </c>
      <c r="B66" s="90">
        <f aca="true" t="shared" si="1" ref="B66:G66">B$30</f>
        <v>24</v>
      </c>
      <c r="C66" s="90">
        <f t="shared" si="1"/>
        <v>86</v>
      </c>
      <c r="D66" s="90">
        <f t="shared" si="1"/>
        <v>80</v>
      </c>
      <c r="E66" s="90">
        <f t="shared" si="1"/>
        <v>80</v>
      </c>
      <c r="F66" s="90">
        <f t="shared" si="1"/>
        <v>80</v>
      </c>
      <c r="G66" s="90">
        <f t="shared" si="1"/>
        <v>80</v>
      </c>
    </row>
    <row r="67" spans="1:7" ht="12.75">
      <c r="A67" s="62" t="s">
        <v>169</v>
      </c>
      <c r="B67" s="90">
        <f aca="true" t="shared" si="2" ref="B67:G67">B65+B66</f>
        <v>202.5</v>
      </c>
      <c r="C67" s="90">
        <f t="shared" si="2"/>
        <v>264.5</v>
      </c>
      <c r="D67" s="90">
        <f t="shared" si="2"/>
        <v>258.5</v>
      </c>
      <c r="E67" s="90">
        <f t="shared" si="2"/>
        <v>258.5</v>
      </c>
      <c r="F67" s="90">
        <f t="shared" si="2"/>
        <v>258.5</v>
      </c>
      <c r="G67" s="90">
        <f t="shared" si="2"/>
        <v>258.5</v>
      </c>
    </row>
    <row r="68" spans="1:7" ht="12.75">
      <c r="A68" s="62" t="s">
        <v>178</v>
      </c>
      <c r="B68" s="90">
        <f>B67/'Données ménage type'!$B$16</f>
        <v>0.9642857142857143</v>
      </c>
      <c r="C68" s="90">
        <f>C67/'Données ménage type'!$B$16</f>
        <v>1.2595238095238095</v>
      </c>
      <c r="D68" s="90">
        <f>D67/'Données ménage type'!$B$16</f>
        <v>1.230952380952381</v>
      </c>
      <c r="E68" s="90">
        <f>E67/'Données ménage type'!$B$16</f>
        <v>1.230952380952381</v>
      </c>
      <c r="F68" s="90">
        <f>F67/'Données ménage type'!$B$16</f>
        <v>1.230952380952381</v>
      </c>
      <c r="G68" s="90">
        <f>G67/'Données ménage type'!$B$16</f>
        <v>1.230952380952381</v>
      </c>
    </row>
    <row r="69" spans="1:7" ht="12.75">
      <c r="A69" s="96" t="s">
        <v>179</v>
      </c>
      <c r="B69" s="91">
        <f>B67/'Données ménage type'!$B$15</f>
        <v>4.709302325581396</v>
      </c>
      <c r="C69" s="91">
        <f>C67/'Données ménage type'!$B$15</f>
        <v>6.151162790697675</v>
      </c>
      <c r="D69" s="91">
        <f>D67/'Données ménage type'!$B$15</f>
        <v>6.011627906976744</v>
      </c>
      <c r="E69" s="91">
        <f>E67/'Données ménage type'!$B$15</f>
        <v>6.011627906976744</v>
      </c>
      <c r="F69" s="91">
        <f>F67/'Données ménage type'!$B$15</f>
        <v>6.011627906976744</v>
      </c>
      <c r="G69" s="91">
        <f>G67/'Données ménage type'!$B$15</f>
        <v>6.011627906976744</v>
      </c>
    </row>
    <row r="70" spans="1:7" ht="12.75">
      <c r="A70" s="62"/>
      <c r="B70" s="3"/>
      <c r="C70" s="3"/>
      <c r="D70" s="3"/>
      <c r="E70" s="3"/>
      <c r="F70" s="3"/>
      <c r="G70" s="3"/>
    </row>
    <row r="71" spans="1:7" ht="12.75">
      <c r="A71" s="62" t="s">
        <v>180</v>
      </c>
      <c r="B71" s="90">
        <f aca="true" t="shared" si="3" ref="B71:G71">B52+B60+B67</f>
        <v>409</v>
      </c>
      <c r="C71" s="90">
        <f t="shared" si="3"/>
        <v>530</v>
      </c>
      <c r="D71" s="90">
        <f t="shared" si="3"/>
        <v>604</v>
      </c>
      <c r="E71" s="90">
        <f t="shared" si="3"/>
        <v>576.5</v>
      </c>
      <c r="F71" s="90">
        <f t="shared" si="3"/>
        <v>576.5</v>
      </c>
      <c r="G71" s="90">
        <f t="shared" si="3"/>
        <v>646.2</v>
      </c>
    </row>
    <row r="72" spans="1:7" ht="12.75">
      <c r="A72" s="62" t="s">
        <v>181</v>
      </c>
      <c r="B72" s="90">
        <f>B71/'Données ménage type'!$B$7</f>
        <v>409</v>
      </c>
      <c r="C72" s="90">
        <f>C71/'Données ménage type'!$B$7</f>
        <v>530</v>
      </c>
      <c r="D72" s="90">
        <f>D71/'Données ménage type'!$B$7</f>
        <v>604</v>
      </c>
      <c r="E72" s="90">
        <f>E71/'Données ménage type'!$B$7</f>
        <v>576.5</v>
      </c>
      <c r="F72" s="90">
        <f>F71/'Données ménage type'!$B$7</f>
        <v>576.5</v>
      </c>
      <c r="G72" s="90">
        <f>G71/'Données ménage type'!$B$7</f>
        <v>646.2</v>
      </c>
    </row>
    <row r="73" spans="1:7" ht="12.75">
      <c r="A73" s="93"/>
      <c r="B73" s="94"/>
      <c r="C73" s="94"/>
      <c r="D73" s="94"/>
      <c r="E73" s="94"/>
      <c r="F73" s="94"/>
      <c r="G73" s="94"/>
    </row>
    <row r="74" spans="1:7" ht="12.75">
      <c r="A74" s="48"/>
      <c r="B74" s="97" t="s">
        <v>37</v>
      </c>
      <c r="C74" s="97" t="s">
        <v>45</v>
      </c>
      <c r="D74" s="97" t="s">
        <v>55</v>
      </c>
      <c r="E74" s="98" t="s">
        <v>94</v>
      </c>
      <c r="F74" s="98" t="s">
        <v>95</v>
      </c>
      <c r="G74" s="98" t="s">
        <v>116</v>
      </c>
    </row>
    <row r="75" spans="1:7" ht="12.75">
      <c r="A75" s="96" t="s">
        <v>182</v>
      </c>
      <c r="B75" s="19"/>
      <c r="C75" s="19"/>
      <c r="D75" s="19"/>
      <c r="E75" s="19"/>
      <c r="F75" s="19"/>
      <c r="G75" s="19"/>
    </row>
    <row r="76" spans="1:7" ht="12.75">
      <c r="A76" s="62"/>
      <c r="B76" s="19"/>
      <c r="C76" s="19"/>
      <c r="D76" s="19"/>
      <c r="E76" s="19"/>
      <c r="F76" s="19"/>
      <c r="G76" s="19"/>
    </row>
    <row r="77" spans="1:7" ht="12.75">
      <c r="A77" s="65" t="s">
        <v>167</v>
      </c>
      <c r="B77" s="92">
        <f>'Données ménage type'!$C$17*B$3</f>
        <v>263.5</v>
      </c>
      <c r="C77" s="92">
        <f>'Données ménage type'!$C$17*C$3</f>
        <v>325.5</v>
      </c>
      <c r="D77" s="92">
        <f>'Données ménage type'!$C$17*D$3</f>
        <v>418.5</v>
      </c>
      <c r="E77" s="92">
        <f>'Données ménage type'!$C$17*E$3</f>
        <v>341</v>
      </c>
      <c r="F77" s="92">
        <f>'Données ménage type'!$C$17*F$3</f>
        <v>341</v>
      </c>
      <c r="G77" s="92">
        <f>'Données ménage type'!$C$17*G$3</f>
        <v>248</v>
      </c>
    </row>
    <row r="78" spans="1:7" ht="12.75">
      <c r="A78" s="65" t="s">
        <v>168</v>
      </c>
      <c r="B78" s="90">
        <f>B$5+('Données prix Bassins'!B$6/'Données ménage type'!$C$24)</f>
        <v>9</v>
      </c>
      <c r="C78" s="90">
        <f>C$5+('Données prix Bassins'!C$6/'Données ménage type'!$C$24)</f>
        <v>36.33333333333333</v>
      </c>
      <c r="D78" s="90">
        <f>D$5+('Données prix Bassins'!D$6/'Données ménage type'!$C$24)</f>
        <v>91</v>
      </c>
      <c r="E78" s="90">
        <f>E$5+('Données prix Bassins'!E$6/'Données ménage type'!$C$24)</f>
        <v>91</v>
      </c>
      <c r="F78" s="90">
        <f>F$5+('Données prix Bassins'!F$6/'Données ménage type'!$C$24)</f>
        <v>91</v>
      </c>
      <c r="G78" s="90">
        <f>G$5+('Données prix Bassins'!G$6/'Données ménage type'!$C$24)</f>
        <v>91</v>
      </c>
    </row>
    <row r="79" spans="1:7" ht="12.75">
      <c r="A79" s="65" t="s">
        <v>169</v>
      </c>
      <c r="B79" s="92">
        <f aca="true" t="shared" si="4" ref="B79:G79">B77+B78</f>
        <v>272.5</v>
      </c>
      <c r="C79" s="92">
        <f t="shared" si="4"/>
        <v>361.8333333333333</v>
      </c>
      <c r="D79" s="92">
        <f t="shared" si="4"/>
        <v>509.5</v>
      </c>
      <c r="E79" s="92">
        <f t="shared" si="4"/>
        <v>432</v>
      </c>
      <c r="F79" s="92">
        <f t="shared" si="4"/>
        <v>432</v>
      </c>
      <c r="G79" s="92">
        <f t="shared" si="4"/>
        <v>339</v>
      </c>
    </row>
    <row r="80" spans="1:7" ht="12.75">
      <c r="A80" s="96" t="s">
        <v>170</v>
      </c>
      <c r="B80" s="91">
        <f>B79/'Données ménage type'!$C$17</f>
        <v>1.7580645161290323</v>
      </c>
      <c r="C80" s="91">
        <f>C79/'Données ménage type'!$C$17</f>
        <v>2.3344086021505377</v>
      </c>
      <c r="D80" s="91">
        <f>D79/'Données ménage type'!$C$17</f>
        <v>3.2870967741935484</v>
      </c>
      <c r="E80" s="91">
        <f>E79/'Données ménage type'!$C$17</f>
        <v>2.7870967741935484</v>
      </c>
      <c r="F80" s="91">
        <f>F79/'Données ménage type'!$C$17</f>
        <v>2.7870967741935484</v>
      </c>
      <c r="G80" s="91">
        <f>G79/'Données ménage type'!$C$17</f>
        <v>2.1870967741935483</v>
      </c>
    </row>
    <row r="81" spans="1:7" ht="12.75">
      <c r="A81" s="62"/>
      <c r="B81" s="19"/>
      <c r="C81" s="19"/>
      <c r="D81" s="19"/>
      <c r="E81" s="19"/>
      <c r="F81" s="19"/>
      <c r="G81" s="19"/>
    </row>
    <row r="82" spans="1:7" ht="12.75">
      <c r="A82" s="65" t="s">
        <v>171</v>
      </c>
      <c r="B82" s="19"/>
      <c r="C82" s="19"/>
      <c r="D82" s="19"/>
      <c r="E82" s="19"/>
      <c r="F82" s="19"/>
      <c r="G82" s="19"/>
    </row>
    <row r="83" spans="1:7" ht="12.75">
      <c r="A83" s="65" t="s">
        <v>172</v>
      </c>
      <c r="B83" s="92">
        <f>'Données ménage type'!$C$17*B$16</f>
        <v>310</v>
      </c>
      <c r="C83" s="92">
        <f>'Données ménage type'!$C$17*C$16</f>
        <v>310</v>
      </c>
      <c r="D83" s="92">
        <f>'Données ménage type'!$C$17*D$16</f>
        <v>310</v>
      </c>
      <c r="E83" s="92">
        <f>'Données ménage type'!$C$17*E$16</f>
        <v>310</v>
      </c>
      <c r="F83" s="92">
        <f>'Données ménage type'!$C$17*F$16</f>
        <v>310</v>
      </c>
      <c r="G83" s="92">
        <f>'Données ménage type'!$C$17*G$16</f>
        <v>248</v>
      </c>
    </row>
    <row r="84" spans="1:7" ht="12.75">
      <c r="A84" s="65" t="s">
        <v>173</v>
      </c>
      <c r="B84" s="92">
        <v>0</v>
      </c>
      <c r="C84" s="90">
        <f>$C$20*'Données ménage type'!$C$7</f>
        <v>27</v>
      </c>
      <c r="D84" s="90">
        <f>$D$20*'Données ménage type'!$C$7</f>
        <v>0</v>
      </c>
      <c r="E84" s="90">
        <f>$E$20*'Données ménage type'!$C$7</f>
        <v>0</v>
      </c>
      <c r="F84" s="90">
        <f>$F$20*'Données ménage type'!$C$7</f>
        <v>0</v>
      </c>
      <c r="G84" s="90">
        <f>$G$20*'Données ménage type'!$C$7</f>
        <v>0</v>
      </c>
    </row>
    <row r="85" spans="1:7" ht="12.75">
      <c r="A85" s="65" t="s">
        <v>174</v>
      </c>
      <c r="B85" s="90"/>
      <c r="C85" s="90"/>
      <c r="D85" s="90"/>
      <c r="E85" s="90"/>
      <c r="F85" s="90"/>
      <c r="G85" s="90">
        <f>'Données ménage type'!$C$10*G$21</f>
        <v>137.5</v>
      </c>
    </row>
    <row r="86" spans="1:7" ht="12.75">
      <c r="A86" s="65" t="s">
        <v>97</v>
      </c>
      <c r="B86" s="90"/>
      <c r="C86" s="90"/>
      <c r="D86" s="90"/>
      <c r="E86" s="90"/>
      <c r="F86" s="90"/>
      <c r="G86" s="90">
        <f>'Données ménage type'!$C$29/'Données ménage type'!$C$24*G$22</f>
        <v>72</v>
      </c>
    </row>
    <row r="87" spans="1:7" ht="12.75">
      <c r="A87" s="65" t="s">
        <v>169</v>
      </c>
      <c r="B87" s="92">
        <f>B83+B84</f>
        <v>310</v>
      </c>
      <c r="C87" s="92">
        <f>C83+C84</f>
        <v>337</v>
      </c>
      <c r="D87" s="92">
        <f>D83+D84</f>
        <v>310</v>
      </c>
      <c r="E87" s="92">
        <f>E83+E84</f>
        <v>310</v>
      </c>
      <c r="F87" s="92">
        <f>F83+F84</f>
        <v>310</v>
      </c>
      <c r="G87" s="92">
        <f>SUM(G83:G86)</f>
        <v>457.5</v>
      </c>
    </row>
    <row r="88" spans="1:7" ht="12.75">
      <c r="A88" s="96" t="s">
        <v>170</v>
      </c>
      <c r="B88" s="91">
        <f>B87/'Données ménage type'!$C$17</f>
        <v>2</v>
      </c>
      <c r="C88" s="91">
        <f>C87/'Données ménage type'!$C$17</f>
        <v>2.174193548387097</v>
      </c>
      <c r="D88" s="91">
        <f>D87/'Données ménage type'!$C$17</f>
        <v>2</v>
      </c>
      <c r="E88" s="91">
        <f>E87/'Données ménage type'!$C$17</f>
        <v>2</v>
      </c>
      <c r="F88" s="91">
        <f>F87/'Données ménage type'!$C$17</f>
        <v>2</v>
      </c>
      <c r="G88" s="91">
        <f>G87/'Données ménage type'!$C$17</f>
        <v>2.9516129032258065</v>
      </c>
    </row>
    <row r="89" spans="1:7" ht="12.75">
      <c r="A89" s="62"/>
      <c r="B89" s="19"/>
      <c r="C89" s="19"/>
      <c r="D89" s="19"/>
      <c r="E89" s="19"/>
      <c r="F89" s="19"/>
      <c r="G89" s="19"/>
    </row>
    <row r="90" spans="1:7" ht="12.75">
      <c r="A90" s="62"/>
      <c r="B90" s="19"/>
      <c r="C90" s="19"/>
      <c r="D90" s="19"/>
      <c r="E90" s="19"/>
      <c r="F90" s="19"/>
      <c r="G90" s="19"/>
    </row>
    <row r="91" spans="1:7" ht="12.75">
      <c r="A91" s="62" t="s">
        <v>175</v>
      </c>
      <c r="B91" s="19"/>
      <c r="C91" s="19"/>
      <c r="D91" s="19"/>
      <c r="E91" s="19"/>
      <c r="F91" s="19"/>
      <c r="G91" s="19"/>
    </row>
    <row r="92" spans="1:7" ht="12.75">
      <c r="A92" s="62" t="s">
        <v>176</v>
      </c>
      <c r="B92" s="92">
        <f>'Données ménage type'!$C$16*B$28</f>
        <v>536.35</v>
      </c>
      <c r="C92" s="92">
        <f>'Données ménage type'!$C$16*C$28</f>
        <v>536.35</v>
      </c>
      <c r="D92" s="92">
        <f>'Données ménage type'!$C$16*D$28</f>
        <v>536.35</v>
      </c>
      <c r="E92" s="92">
        <f>'Données ménage type'!$C$16*E$28</f>
        <v>536.35</v>
      </c>
      <c r="F92" s="92">
        <f>'Données ménage type'!$C$16*F$28</f>
        <v>536.35</v>
      </c>
      <c r="G92" s="92">
        <f>'Données ménage type'!$C$16*G$28</f>
        <v>536.35</v>
      </c>
    </row>
    <row r="93" spans="1:7" ht="12.75">
      <c r="A93" s="62" t="s">
        <v>177</v>
      </c>
      <c r="B93" s="92">
        <f aca="true" t="shared" si="5" ref="B93:G93">B$30*2+B$31</f>
        <v>52</v>
      </c>
      <c r="C93" s="92">
        <f t="shared" si="5"/>
        <v>186</v>
      </c>
      <c r="D93" s="92">
        <f t="shared" si="5"/>
        <v>173</v>
      </c>
      <c r="E93" s="92">
        <f t="shared" si="5"/>
        <v>173</v>
      </c>
      <c r="F93" s="92">
        <f t="shared" si="5"/>
        <v>173</v>
      </c>
      <c r="G93" s="92">
        <f t="shared" si="5"/>
        <v>173</v>
      </c>
    </row>
    <row r="94" spans="1:7" ht="12.75">
      <c r="A94" s="62" t="s">
        <v>169</v>
      </c>
      <c r="B94" s="92">
        <f aca="true" t="shared" si="6" ref="B94:G94">B92+B93</f>
        <v>588.35</v>
      </c>
      <c r="C94" s="92">
        <f t="shared" si="6"/>
        <v>722.35</v>
      </c>
      <c r="D94" s="92">
        <f t="shared" si="6"/>
        <v>709.35</v>
      </c>
      <c r="E94" s="92">
        <f t="shared" si="6"/>
        <v>709.35</v>
      </c>
      <c r="F94" s="92">
        <f t="shared" si="6"/>
        <v>709.35</v>
      </c>
      <c r="G94" s="92">
        <f t="shared" si="6"/>
        <v>709.35</v>
      </c>
    </row>
    <row r="95" spans="1:7" ht="12.75">
      <c r="A95" s="62" t="s">
        <v>178</v>
      </c>
      <c r="B95" s="92">
        <f>B94/'Données ménage type'!$C$16</f>
        <v>0.9324088748019018</v>
      </c>
      <c r="C95" s="92">
        <f>C94/'Données ménage type'!$C$16</f>
        <v>1.144770206022187</v>
      </c>
      <c r="D95" s="92">
        <f>D94/'Données ménage type'!$C$16</f>
        <v>1.1241679873217116</v>
      </c>
      <c r="E95" s="92">
        <f>E94/'Données ménage type'!$C$16</f>
        <v>1.1241679873217116</v>
      </c>
      <c r="F95" s="92">
        <f>F94/'Données ménage type'!$C$16</f>
        <v>1.1241679873217116</v>
      </c>
      <c r="G95" s="92">
        <f>G94/'Données ménage type'!$C$16</f>
        <v>1.1241679873217116</v>
      </c>
    </row>
    <row r="96" spans="1:7" ht="12.75">
      <c r="A96" s="96" t="s">
        <v>179</v>
      </c>
      <c r="B96" s="91">
        <f>B94/'Données ménage type'!$C$15</f>
        <v>4.560852713178295</v>
      </c>
      <c r="C96" s="91">
        <f>C94/'Données ménage type'!$C$15</f>
        <v>5.5996124031007755</v>
      </c>
      <c r="D96" s="91">
        <f>D94/'Données ménage type'!$C$15</f>
        <v>5.498837209302326</v>
      </c>
      <c r="E96" s="91">
        <f>E94/'Données ménage type'!$C$15</f>
        <v>5.498837209302326</v>
      </c>
      <c r="F96" s="91">
        <f>F94/'Données ménage type'!$C$15</f>
        <v>5.498837209302326</v>
      </c>
      <c r="G96" s="91">
        <f>G94/'Données ménage type'!$C$15</f>
        <v>5.498837209302326</v>
      </c>
    </row>
    <row r="97" spans="1:7" ht="12.75">
      <c r="A97" s="62"/>
      <c r="B97" s="19"/>
      <c r="C97" s="19"/>
      <c r="D97" s="19"/>
      <c r="E97" s="19"/>
      <c r="F97" s="19"/>
      <c r="G97" s="19"/>
    </row>
    <row r="98" spans="1:7" ht="12.75">
      <c r="A98" s="62" t="s">
        <v>180</v>
      </c>
      <c r="B98" s="92">
        <f aca="true" t="shared" si="7" ref="B98:G98">B79+B87+B94</f>
        <v>1170.85</v>
      </c>
      <c r="C98" s="92">
        <f t="shared" si="7"/>
        <v>1421.1833333333334</v>
      </c>
      <c r="D98" s="92">
        <f t="shared" si="7"/>
        <v>1528.85</v>
      </c>
      <c r="E98" s="92">
        <f t="shared" si="7"/>
        <v>1451.35</v>
      </c>
      <c r="F98" s="92">
        <f t="shared" si="7"/>
        <v>1451.35</v>
      </c>
      <c r="G98" s="92">
        <f t="shared" si="7"/>
        <v>1505.85</v>
      </c>
    </row>
    <row r="99" spans="1:7" ht="12.75">
      <c r="A99" s="62" t="s">
        <v>181</v>
      </c>
      <c r="B99" s="92">
        <f>B98/'Données ménage type'!$C$7</f>
        <v>390.2833333333333</v>
      </c>
      <c r="C99" s="92">
        <f>C98/'Données ménage type'!$C$7</f>
        <v>473.7277777777778</v>
      </c>
      <c r="D99" s="92">
        <f>D98/'Données ménage type'!$C$7</f>
        <v>509.6166666666666</v>
      </c>
      <c r="E99" s="92">
        <f>E98/'Données ménage type'!$C$7</f>
        <v>483.7833333333333</v>
      </c>
      <c r="F99" s="92">
        <f>F98/'Données ménage type'!$C$7</f>
        <v>483.7833333333333</v>
      </c>
      <c r="G99" s="92">
        <f>G98/'Données ménage type'!$C$7</f>
        <v>501.95</v>
      </c>
    </row>
    <row r="100" spans="1:7" ht="12.75">
      <c r="A100" s="93"/>
      <c r="B100" s="95"/>
      <c r="C100" s="95"/>
      <c r="D100" s="95"/>
      <c r="E100" s="95"/>
      <c r="F100" s="95"/>
      <c r="G100" s="95"/>
    </row>
    <row r="101" spans="1:7" ht="12.75">
      <c r="A101" s="48"/>
      <c r="B101" s="97" t="s">
        <v>37</v>
      </c>
      <c r="C101" s="97" t="s">
        <v>45</v>
      </c>
      <c r="D101" s="97" t="s">
        <v>55</v>
      </c>
      <c r="E101" s="98" t="s">
        <v>94</v>
      </c>
      <c r="F101" s="98" t="s">
        <v>95</v>
      </c>
      <c r="G101" s="98" t="s">
        <v>116</v>
      </c>
    </row>
    <row r="102" spans="1:7" ht="12.75">
      <c r="A102" s="96" t="s">
        <v>183</v>
      </c>
      <c r="B102" s="3"/>
      <c r="C102" s="3"/>
      <c r="D102" s="3"/>
      <c r="E102" s="3"/>
      <c r="F102" s="3"/>
      <c r="G102" s="3"/>
    </row>
    <row r="103" spans="1:7" ht="12.75">
      <c r="A103" s="65"/>
      <c r="B103" s="3"/>
      <c r="C103" s="3"/>
      <c r="D103" s="3"/>
      <c r="E103" s="3"/>
      <c r="F103" s="3"/>
      <c r="G103" s="3"/>
    </row>
    <row r="104" spans="1:7" ht="12.75">
      <c r="A104" s="65" t="s">
        <v>167</v>
      </c>
      <c r="B104" s="90">
        <f>'Données ménage type'!$D$17*B$3</f>
        <v>357</v>
      </c>
      <c r="C104" s="90">
        <f>'Données ménage type'!$D$17*C$3</f>
        <v>441</v>
      </c>
      <c r="D104" s="90">
        <f>'Données ménage type'!$D$17*D$3</f>
        <v>567</v>
      </c>
      <c r="E104" s="90">
        <f>'Données ménage type'!$D$17*E$3</f>
        <v>462.00000000000006</v>
      </c>
      <c r="F104" s="90">
        <f>'Données ménage type'!$D$17*F$3</f>
        <v>462.00000000000006</v>
      </c>
      <c r="G104" s="90">
        <f>'Données ménage type'!$D$17*G$3</f>
        <v>336</v>
      </c>
    </row>
    <row r="105" spans="1:7" ht="12.75">
      <c r="A105" s="65" t="s">
        <v>168</v>
      </c>
      <c r="B105" s="90">
        <f aca="true" t="shared" si="8" ref="B105:G105">B$5+B$6</f>
        <v>45</v>
      </c>
      <c r="C105" s="90">
        <f t="shared" si="8"/>
        <v>68.33333333333333</v>
      </c>
      <c r="D105" s="90">
        <f t="shared" si="8"/>
        <v>115</v>
      </c>
      <c r="E105" s="90">
        <f t="shared" si="8"/>
        <v>115</v>
      </c>
      <c r="F105" s="90">
        <f t="shared" si="8"/>
        <v>115</v>
      </c>
      <c r="G105" s="90">
        <f t="shared" si="8"/>
        <v>115</v>
      </c>
    </row>
    <row r="106" spans="1:7" ht="12.75">
      <c r="A106" s="65" t="s">
        <v>169</v>
      </c>
      <c r="B106" s="90">
        <f aca="true" t="shared" si="9" ref="B106:G106">B104+B105</f>
        <v>402</v>
      </c>
      <c r="C106" s="90">
        <f t="shared" si="9"/>
        <v>509.3333333333333</v>
      </c>
      <c r="D106" s="90">
        <f t="shared" si="9"/>
        <v>682</v>
      </c>
      <c r="E106" s="90">
        <f t="shared" si="9"/>
        <v>577</v>
      </c>
      <c r="F106" s="90">
        <f t="shared" si="9"/>
        <v>577</v>
      </c>
      <c r="G106" s="90">
        <f t="shared" si="9"/>
        <v>451</v>
      </c>
    </row>
    <row r="107" spans="1:7" ht="12.75">
      <c r="A107" s="96" t="s">
        <v>170</v>
      </c>
      <c r="B107" s="91">
        <f>B$106/'Données ménage type'!$D$17</f>
        <v>1.9142857142857144</v>
      </c>
      <c r="C107" s="91">
        <f>C$106/'Données ménage type'!$D$17</f>
        <v>2.425396825396825</v>
      </c>
      <c r="D107" s="91">
        <f>D$106/'Données ménage type'!$D$17</f>
        <v>3.2476190476190476</v>
      </c>
      <c r="E107" s="91">
        <f>E$106/'Données ménage type'!$D$17</f>
        <v>2.7476190476190476</v>
      </c>
      <c r="F107" s="91">
        <f>F$106/'Données ménage type'!$D$17</f>
        <v>2.7476190476190476</v>
      </c>
      <c r="G107" s="91">
        <f>G$106/'Données ménage type'!$D$17</f>
        <v>2.1476190476190475</v>
      </c>
    </row>
    <row r="108" spans="1:7" ht="12.75">
      <c r="A108" s="65"/>
      <c r="B108" s="90"/>
      <c r="C108" s="90"/>
      <c r="D108" s="90"/>
      <c r="E108" s="90"/>
      <c r="F108" s="90"/>
      <c r="G108" s="90"/>
    </row>
    <row r="109" spans="1:7" ht="12.75">
      <c r="A109" s="65" t="s">
        <v>171</v>
      </c>
      <c r="B109" s="90"/>
      <c r="C109" s="90"/>
      <c r="D109" s="90"/>
      <c r="E109" s="90"/>
      <c r="F109" s="90"/>
      <c r="G109" s="90"/>
    </row>
    <row r="110" spans="1:7" ht="12.75">
      <c r="A110" s="65" t="s">
        <v>172</v>
      </c>
      <c r="B110" s="90">
        <f>'Données ménage type'!$D$17*B$16</f>
        <v>420</v>
      </c>
      <c r="C110" s="90">
        <f>'Données ménage type'!$D$17*C$16</f>
        <v>420</v>
      </c>
      <c r="D110" s="90">
        <f>'Données ménage type'!$D$17*D$16</f>
        <v>420</v>
      </c>
      <c r="E110" s="90">
        <f>'Données ménage type'!$D$17*E$16</f>
        <v>420</v>
      </c>
      <c r="F110" s="90">
        <f>'Données ménage type'!$D$17*F$16</f>
        <v>420</v>
      </c>
      <c r="G110" s="90">
        <f>'Données ménage type'!$D$17*G$16</f>
        <v>336</v>
      </c>
    </row>
    <row r="111" spans="1:7" ht="12.75">
      <c r="A111" s="65" t="s">
        <v>173</v>
      </c>
      <c r="B111" s="90">
        <f>B$20*'Données ménage type'!$D$7</f>
        <v>0</v>
      </c>
      <c r="C111" s="90">
        <f>C$20*'Données ménage type'!$D$7</f>
        <v>36</v>
      </c>
      <c r="D111" s="90">
        <f>D$20*'Données ménage type'!$D$7</f>
        <v>0</v>
      </c>
      <c r="E111" s="90">
        <f>E$20*'Données ménage type'!$D$7</f>
        <v>0</v>
      </c>
      <c r="F111" s="90">
        <f>F$20*'Données ménage type'!$D$7</f>
        <v>0</v>
      </c>
      <c r="G111" s="90">
        <f>G$20*'Données ménage type'!$D$7</f>
        <v>0</v>
      </c>
    </row>
    <row r="112" spans="1:7" ht="12.75">
      <c r="A112" s="65" t="s">
        <v>174</v>
      </c>
      <c r="B112" s="90"/>
      <c r="C112" s="90"/>
      <c r="D112" s="90"/>
      <c r="E112" s="90"/>
      <c r="F112" s="90"/>
      <c r="G112" s="90">
        <f>'Données ménage type'!$D$10*G$21</f>
        <v>206.8</v>
      </c>
    </row>
    <row r="113" spans="1:7" ht="12.75">
      <c r="A113" s="65" t="s">
        <v>97</v>
      </c>
      <c r="B113" s="90"/>
      <c r="C113" s="90"/>
      <c r="D113" s="90"/>
      <c r="E113" s="90"/>
      <c r="F113" s="90"/>
      <c r="G113" s="90">
        <f>'Données ménage type'!$D$29/'Données ménage type'!$D$24*G$22</f>
        <v>180</v>
      </c>
    </row>
    <row r="114" spans="1:7" ht="12.75">
      <c r="A114" s="65" t="s">
        <v>169</v>
      </c>
      <c r="B114" s="90">
        <f>B110+B111</f>
        <v>420</v>
      </c>
      <c r="C114" s="90">
        <f>C110+C111</f>
        <v>456</v>
      </c>
      <c r="D114" s="90">
        <f>D110+D111</f>
        <v>420</v>
      </c>
      <c r="E114" s="90">
        <f>E110+E111</f>
        <v>420</v>
      </c>
      <c r="F114" s="90">
        <f>F110+F111</f>
        <v>420</v>
      </c>
      <c r="G114" s="90">
        <f>SUM(G110:G113)</f>
        <v>722.8</v>
      </c>
    </row>
    <row r="115" spans="1:7" ht="12.75">
      <c r="A115" s="96" t="s">
        <v>170</v>
      </c>
      <c r="B115" s="91">
        <f>B$114/'Données ménage type'!$D$17</f>
        <v>2</v>
      </c>
      <c r="C115" s="91">
        <f>C$114/'Données ménage type'!$D$17</f>
        <v>2.1714285714285713</v>
      </c>
      <c r="D115" s="91">
        <f>D$114/'Données ménage type'!$D$17</f>
        <v>2</v>
      </c>
      <c r="E115" s="91">
        <f>E$114/'Données ménage type'!$D$17</f>
        <v>2</v>
      </c>
      <c r="F115" s="91">
        <f>F$114/'Données ménage type'!$D$17</f>
        <v>2</v>
      </c>
      <c r="G115" s="91">
        <f>G$114/'Données ménage type'!$D$17</f>
        <v>3.4419047619047616</v>
      </c>
    </row>
    <row r="116" spans="1:7" ht="12.75">
      <c r="A116" s="65"/>
      <c r="B116" s="90"/>
      <c r="C116" s="90"/>
      <c r="D116" s="90"/>
      <c r="E116" s="90"/>
      <c r="F116" s="90"/>
      <c r="G116" s="90"/>
    </row>
    <row r="117" spans="1:7" ht="12.75">
      <c r="A117" s="65"/>
      <c r="B117" s="90"/>
      <c r="C117" s="90"/>
      <c r="D117" s="90"/>
      <c r="E117" s="90"/>
      <c r="F117" s="90"/>
      <c r="G117" s="90"/>
    </row>
    <row r="118" spans="1:7" ht="12.75">
      <c r="A118" s="62" t="s">
        <v>175</v>
      </c>
      <c r="B118" s="90"/>
      <c r="C118" s="90"/>
      <c r="D118" s="90"/>
      <c r="E118" s="90"/>
      <c r="F118" s="90"/>
      <c r="G118" s="90"/>
    </row>
    <row r="119" spans="1:7" ht="12.75">
      <c r="A119" s="62" t="s">
        <v>176</v>
      </c>
      <c r="B119" s="90">
        <f>'Données ménage type'!$D$16*B$28</f>
        <v>714.85</v>
      </c>
      <c r="C119" s="90">
        <f>'Données ménage type'!$D$16*C$28</f>
        <v>714.85</v>
      </c>
      <c r="D119" s="90">
        <f>'Données ménage type'!$D$16*D$28</f>
        <v>714.85</v>
      </c>
      <c r="E119" s="90">
        <f>'Données ménage type'!$D$16*E$28</f>
        <v>714.85</v>
      </c>
      <c r="F119" s="90">
        <f>'Données ménage type'!$D$16*F$28</f>
        <v>714.85</v>
      </c>
      <c r="G119" s="90">
        <f>'Données ménage type'!$D$16*G$28</f>
        <v>714.85</v>
      </c>
    </row>
    <row r="120" spans="1:7" ht="12.75">
      <c r="A120" s="62" t="s">
        <v>177</v>
      </c>
      <c r="B120" s="90">
        <f aca="true" t="shared" si="10" ref="B120:G120">B$30*2+B$31*2</f>
        <v>56</v>
      </c>
      <c r="C120" s="90">
        <f t="shared" si="10"/>
        <v>200</v>
      </c>
      <c r="D120" s="90">
        <f t="shared" si="10"/>
        <v>186</v>
      </c>
      <c r="E120" s="90">
        <f t="shared" si="10"/>
        <v>186</v>
      </c>
      <c r="F120" s="90">
        <f t="shared" si="10"/>
        <v>186</v>
      </c>
      <c r="G120" s="90">
        <f t="shared" si="10"/>
        <v>186</v>
      </c>
    </row>
    <row r="121" spans="1:7" ht="12.75">
      <c r="A121" s="62" t="s">
        <v>169</v>
      </c>
      <c r="B121" s="90">
        <f aca="true" t="shared" si="11" ref="B121:G121">B119+B120</f>
        <v>770.85</v>
      </c>
      <c r="C121" s="90">
        <f t="shared" si="11"/>
        <v>914.85</v>
      </c>
      <c r="D121" s="90">
        <f t="shared" si="11"/>
        <v>900.85</v>
      </c>
      <c r="E121" s="90">
        <f t="shared" si="11"/>
        <v>900.85</v>
      </c>
      <c r="F121" s="90">
        <f t="shared" si="11"/>
        <v>900.85</v>
      </c>
      <c r="G121" s="90">
        <f t="shared" si="11"/>
        <v>900.85</v>
      </c>
    </row>
    <row r="122" spans="1:7" ht="12.75">
      <c r="A122" s="62" t="s">
        <v>178</v>
      </c>
      <c r="B122" s="90">
        <f>B$121/'Données ménage type'!$D$16</f>
        <v>0.9165873959571939</v>
      </c>
      <c r="C122" s="90">
        <f>C$121/'Données ménage type'!$D$16</f>
        <v>1.0878121284185494</v>
      </c>
      <c r="D122" s="90">
        <f>D$121/'Données ménage type'!$D$16</f>
        <v>1.071165279429251</v>
      </c>
      <c r="E122" s="90">
        <f>E$121/'Données ménage type'!$D$16</f>
        <v>1.071165279429251</v>
      </c>
      <c r="F122" s="90">
        <f>F$121/'Données ménage type'!$D$16</f>
        <v>1.071165279429251</v>
      </c>
      <c r="G122" s="90">
        <f>G$121/'Données ménage type'!$D$16</f>
        <v>1.071165279429251</v>
      </c>
    </row>
    <row r="123" spans="1:7" ht="12.75">
      <c r="A123" s="96" t="s">
        <v>179</v>
      </c>
      <c r="B123" s="91">
        <f>B$121/'Données ménage type'!$D$15</f>
        <v>4.481686046511628</v>
      </c>
      <c r="C123" s="91">
        <f>C$121/'Données ménage type'!$D$15</f>
        <v>5.318895348837209</v>
      </c>
      <c r="D123" s="91">
        <f>D$121/'Données ménage type'!$D$15</f>
        <v>5.2375</v>
      </c>
      <c r="E123" s="91">
        <f>E$121/'Données ménage type'!$D$15</f>
        <v>5.2375</v>
      </c>
      <c r="F123" s="91">
        <f>F$121/'Données ménage type'!$D$15</f>
        <v>5.2375</v>
      </c>
      <c r="G123" s="91">
        <f>G$121/'Données ménage type'!$D$15</f>
        <v>5.2375</v>
      </c>
    </row>
    <row r="124" spans="1:7" ht="12.75">
      <c r="A124" s="62"/>
      <c r="B124" s="3"/>
      <c r="C124" s="3"/>
      <c r="D124" s="3"/>
      <c r="E124" s="3"/>
      <c r="F124" s="3"/>
      <c r="G124" s="3"/>
    </row>
    <row r="125" spans="1:7" ht="12.75">
      <c r="A125" s="62" t="s">
        <v>180</v>
      </c>
      <c r="B125" s="90">
        <f aca="true" t="shared" si="12" ref="B125:G125">B106+B114+B121</f>
        <v>1592.85</v>
      </c>
      <c r="C125" s="90">
        <f t="shared" si="12"/>
        <v>1880.1833333333334</v>
      </c>
      <c r="D125" s="90">
        <f t="shared" si="12"/>
        <v>2002.85</v>
      </c>
      <c r="E125" s="90">
        <f t="shared" si="12"/>
        <v>1897.85</v>
      </c>
      <c r="F125" s="90">
        <f t="shared" si="12"/>
        <v>1897.85</v>
      </c>
      <c r="G125" s="90">
        <f t="shared" si="12"/>
        <v>2074.65</v>
      </c>
    </row>
    <row r="126" spans="1:7" ht="12.75">
      <c r="A126" s="62" t="s">
        <v>181</v>
      </c>
      <c r="B126" s="90">
        <f>B$125/'Données ménage type'!$D$7</f>
        <v>398.2125</v>
      </c>
      <c r="C126" s="90">
        <f>C$125/'Données ménage type'!$D$7</f>
        <v>470.04583333333335</v>
      </c>
      <c r="D126" s="90">
        <f>D$125/'Données ménage type'!$D$7</f>
        <v>500.7125</v>
      </c>
      <c r="E126" s="90">
        <f>E$125/'Données ménage type'!$D$7</f>
        <v>474.4625</v>
      </c>
      <c r="F126" s="90">
        <f>F$125/'Données ménage type'!$D$7</f>
        <v>474.4625</v>
      </c>
      <c r="G126" s="90">
        <f>G$125/'Données ménage type'!$D$7</f>
        <v>518.6625</v>
      </c>
    </row>
  </sheetData>
  <sheetProtection/>
  <mergeCells count="12">
    <mergeCell ref="B38:H38"/>
    <mergeCell ref="B39:H39"/>
    <mergeCell ref="A43:A44"/>
    <mergeCell ref="B43:H43"/>
    <mergeCell ref="B10:H10"/>
    <mergeCell ref="A24:A26"/>
    <mergeCell ref="A36:A39"/>
    <mergeCell ref="B24:H24"/>
    <mergeCell ref="B25:H25"/>
    <mergeCell ref="B26:H26"/>
    <mergeCell ref="B36:H36"/>
    <mergeCell ref="B37:H37"/>
  </mergeCells>
  <hyperlinks>
    <hyperlink ref="B36" r:id="rId1" display="http://www.bassins.ch/wp-content/uploads/2015/11/RGD_bassins_aou%5Et_2015_v2.pdf"/>
    <hyperlink ref="B37" r:id="rId2" display="https://www.bassins.ch/wp-content/uploads/2016/12/Directive_d%C3%A9chets_2016.pdf"/>
    <hyperlink ref="B38" r:id="rId3" display="https://www.bassins.ch/wp-content/uploads/2016/12/R%C3%A8glement_d%C3%A9chets_2016.pdf"/>
    <hyperlink ref="B39" r:id="rId4" display="https://www.bassins.ch/wp-content/uploads/2017/12/2017-12-04.pdf"/>
    <hyperlink ref="B25" r:id="rId5" display="http://www.gcbassins.ch/Documents/TmpDel/Pr%C3%A9avis9.15OEaux.pdf"/>
    <hyperlink ref="B24" r:id="rId6" display="https://www.bassins.ch/wp-content/uploads/2016/12/R%C3%A8glement_%C3%A9puration_1997.pdf"/>
    <hyperlink ref="B10" r:id="rId7" display="http://www.bassins.ch/wp-content/uploads/2016/12/Prix_eau_2016-2017.pdf"/>
    <hyperlink ref="B43" r:id="rId8" display="http://www.pisepub.vd.ch/"/>
    <hyperlink ref="B26" r:id="rId9" display="https://www.bassins.ch/wp-content/uploads/2019/10/13.19.pdf"/>
    <hyperlink ref="B25:H25" r:id="rId10" display="http://www.gcbassins.ch/Documents/TmpDel/Pr%C3%A9avis9.15OEaux.pdf"/>
  </hyperlinks>
  <printOptions/>
  <pageMargins left="0.75" right="0.75" top="1" bottom="1" header="0.4921259845" footer="0.4921259845"/>
  <pageSetup orientation="portrait" paperSize="9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zoomScale="115" zoomScaleNormal="115" zoomScalePageLayoutView="0" workbookViewId="0" topLeftCell="A1">
      <selection activeCell="E3" sqref="E3"/>
    </sheetView>
  </sheetViews>
  <sheetFormatPr defaultColWidth="11.421875" defaultRowHeight="12.75"/>
  <cols>
    <col min="2" max="2" width="44.140625" style="0" customWidth="1"/>
    <col min="3" max="3" width="14.7109375" style="0" customWidth="1"/>
    <col min="4" max="4" width="15.421875" style="0" customWidth="1"/>
    <col min="5" max="5" width="15.28125" style="0" customWidth="1"/>
    <col min="6" max="6" width="12.28125" style="0" customWidth="1"/>
    <col min="7" max="7" width="12.57421875" style="0" customWidth="1"/>
  </cols>
  <sheetData>
    <row r="2" spans="2:6" ht="57.75" customHeight="1">
      <c r="B2" s="139" t="s">
        <v>194</v>
      </c>
      <c r="C2" s="140"/>
      <c r="D2" s="140"/>
      <c r="E2" s="140"/>
      <c r="F2" s="140"/>
    </row>
    <row r="3" spans="2:5" ht="12.75" customHeight="1">
      <c r="B3" s="71" t="s">
        <v>118</v>
      </c>
      <c r="E3" s="38" t="s">
        <v>208</v>
      </c>
    </row>
    <row r="4" spans="2:7" ht="12.75" customHeight="1">
      <c r="B4" s="39" t="s">
        <v>229</v>
      </c>
      <c r="E4" s="141" t="s">
        <v>195</v>
      </c>
      <c r="F4" s="141"/>
      <c r="G4" s="141"/>
    </row>
    <row r="5" spans="2:7" ht="99.75" customHeight="1">
      <c r="B5" s="39"/>
      <c r="E5" s="118" t="s">
        <v>27</v>
      </c>
      <c r="F5" s="118" t="s">
        <v>28</v>
      </c>
      <c r="G5" s="118" t="s">
        <v>29</v>
      </c>
    </row>
    <row r="6" spans="2:7" ht="12.75" customHeight="1">
      <c r="B6" s="67" t="s">
        <v>140</v>
      </c>
      <c r="C6" s="56">
        <v>188</v>
      </c>
      <c r="D6" s="38" t="s">
        <v>123</v>
      </c>
      <c r="E6" s="121">
        <f>'Données ménage type'!B26</f>
        <v>1469</v>
      </c>
      <c r="F6" s="121">
        <f>'Données ménage type'!C26</f>
        <v>575</v>
      </c>
      <c r="G6" s="121">
        <f>'Données ménage type'!D26</f>
        <v>188</v>
      </c>
    </row>
    <row r="7" spans="2:7" ht="12.75" customHeight="1">
      <c r="B7" s="53"/>
      <c r="C7" s="37"/>
      <c r="E7" s="121"/>
      <c r="F7" s="121"/>
      <c r="G7" s="121"/>
    </row>
    <row r="8" spans="2:7" ht="12.75" customHeight="1">
      <c r="B8" s="41" t="s">
        <v>141</v>
      </c>
      <c r="C8" s="56">
        <v>150</v>
      </c>
      <c r="D8" s="38" t="s">
        <v>123</v>
      </c>
      <c r="E8" s="121">
        <f>'Données ménage type'!B29</f>
        <v>610</v>
      </c>
      <c r="F8" s="121">
        <f>'Données ménage type'!C29</f>
        <v>300</v>
      </c>
      <c r="G8" s="121">
        <f>'Données ménage type'!D29</f>
        <v>150</v>
      </c>
    </row>
    <row r="9" spans="5:7" ht="12.75" customHeight="1">
      <c r="E9" s="121"/>
      <c r="F9" s="121"/>
      <c r="G9" s="121"/>
    </row>
    <row r="10" spans="2:7" ht="12.75" customHeight="1">
      <c r="B10" s="41" t="s">
        <v>230</v>
      </c>
      <c r="C10" s="56">
        <v>120</v>
      </c>
      <c r="D10" s="38" t="s">
        <v>123</v>
      </c>
      <c r="E10" s="121">
        <f>'Données ménage type'!B31</f>
        <v>260</v>
      </c>
      <c r="F10" s="121">
        <f>'Données ménage type'!C31</f>
        <v>200</v>
      </c>
      <c r="G10" s="121">
        <f>'Données ménage type'!D31</f>
        <v>120</v>
      </c>
    </row>
    <row r="11" spans="5:7" ht="12.75">
      <c r="E11" s="121"/>
      <c r="F11" s="121"/>
      <c r="G11" s="121"/>
    </row>
    <row r="12" spans="2:7" ht="12.75">
      <c r="B12" s="41" t="s">
        <v>148</v>
      </c>
      <c r="C12" s="69">
        <v>700000</v>
      </c>
      <c r="D12" s="38" t="s">
        <v>145</v>
      </c>
      <c r="E12" s="121">
        <f>'Données ménage type'!B27</f>
        <v>5000000</v>
      </c>
      <c r="F12" s="121">
        <f>'Données ménage type'!C27</f>
        <v>2000000</v>
      </c>
      <c r="G12" s="121">
        <f>'Données ménage type'!D27</f>
        <v>700000</v>
      </c>
    </row>
    <row r="16" spans="4:5" ht="12.75">
      <c r="D16" s="38"/>
      <c r="E16" s="38"/>
    </row>
    <row r="17" spans="2:7" ht="25.5">
      <c r="B17" s="68" t="s">
        <v>144</v>
      </c>
      <c r="C17" s="142" t="s">
        <v>150</v>
      </c>
      <c r="D17" s="143"/>
      <c r="E17" s="66">
        <v>2020</v>
      </c>
      <c r="F17" s="74" t="s">
        <v>192</v>
      </c>
      <c r="G17" s="102" t="s">
        <v>193</v>
      </c>
    </row>
    <row r="18" spans="2:7" ht="12.75">
      <c r="B18" s="3" t="s">
        <v>142</v>
      </c>
      <c r="C18" s="144">
        <f>Surface_brut_de_plancher__SBP*'Données prix Bassins'!F14</f>
        <v>4700</v>
      </c>
      <c r="D18" s="143"/>
      <c r="E18" s="63">
        <f>Surface_brut_de_plancher__SBP*'Données prix Bassins'!G14</f>
        <v>5640</v>
      </c>
      <c r="F18" s="75"/>
      <c r="G18" s="70"/>
    </row>
    <row r="19" spans="2:7" ht="12.75">
      <c r="B19" s="3" t="s">
        <v>143</v>
      </c>
      <c r="C19" s="144">
        <f>Surface_construite___du_bâtiment*'Données prix Bassins'!F15</f>
        <v>1000.0000000000001</v>
      </c>
      <c r="D19" s="143"/>
      <c r="E19" s="63">
        <f>Surface_imperméabilisée_de_votre_habitation__Simp*'Données prix Bassins'!G15</f>
        <v>4500</v>
      </c>
      <c r="F19" s="75"/>
      <c r="G19" s="70"/>
    </row>
    <row r="20" spans="2:7" ht="12.75">
      <c r="B20" s="61" t="s">
        <v>129</v>
      </c>
      <c r="C20" s="145">
        <f>SUM(C18:D19)</f>
        <v>5700</v>
      </c>
      <c r="D20" s="143"/>
      <c r="E20" s="64">
        <f>SUM(E18:E19)</f>
        <v>10140</v>
      </c>
      <c r="F20" s="75">
        <f>(E20-C20)/C20</f>
        <v>0.7789473684210526</v>
      </c>
      <c r="G20" s="75">
        <f>(E20-C20)/C20</f>
        <v>0.7789473684210526</v>
      </c>
    </row>
    <row r="21" spans="6:7" ht="12.75">
      <c r="F21" s="70"/>
      <c r="G21" s="70"/>
    </row>
    <row r="22" spans="2:7" ht="12.75">
      <c r="B22" s="68" t="s">
        <v>146</v>
      </c>
      <c r="C22" s="66" t="s">
        <v>149</v>
      </c>
      <c r="D22" s="66" t="s">
        <v>147</v>
      </c>
      <c r="E22" s="66">
        <v>2020</v>
      </c>
      <c r="F22" s="70"/>
      <c r="G22" s="70"/>
    </row>
    <row r="23" spans="2:7" ht="12.75">
      <c r="B23" s="65" t="s">
        <v>98</v>
      </c>
      <c r="C23" s="63">
        <f>Surface_brut_de_plancher__SBP*'Données prix Bassins'!B7</f>
        <v>6298</v>
      </c>
      <c r="D23" s="63">
        <f>Valeur_du_bâtiment_ECA*'Données prix Bassins'!C8/1000</f>
        <v>10500</v>
      </c>
      <c r="E23" s="63">
        <f>Surface_brut_de_plancher__SBP*'Données prix Bassins'!G7</f>
        <v>11280</v>
      </c>
      <c r="F23" s="75"/>
      <c r="G23" s="70"/>
    </row>
    <row r="24" spans="2:7" ht="12.75">
      <c r="B24" s="61" t="s">
        <v>129</v>
      </c>
      <c r="C24" s="64">
        <f>SUM(C23:C23)</f>
        <v>6298</v>
      </c>
      <c r="D24" s="64">
        <f>SUM(D23:D23)</f>
        <v>10500</v>
      </c>
      <c r="E24" s="64">
        <f>SUM(E23:E23)</f>
        <v>11280</v>
      </c>
      <c r="F24" s="75">
        <f>(E24-C24)/C24</f>
        <v>0.7910447761194029</v>
      </c>
      <c r="G24" s="75">
        <f>(E24-D24)/D24</f>
        <v>0.07428571428571429</v>
      </c>
    </row>
    <row r="25" spans="6:7" ht="12.75">
      <c r="F25" s="70"/>
      <c r="G25" s="70"/>
    </row>
    <row r="26" spans="3:7" ht="12.75">
      <c r="C26" s="66" t="s">
        <v>152</v>
      </c>
      <c r="D26" s="66" t="s">
        <v>147</v>
      </c>
      <c r="E26" s="66">
        <v>2020</v>
      </c>
      <c r="F26" s="70"/>
      <c r="G26" s="70"/>
    </row>
    <row r="27" spans="2:7" ht="12.75">
      <c r="B27" s="61" t="s">
        <v>151</v>
      </c>
      <c r="C27" s="64">
        <f>C20+C24</f>
        <v>11998</v>
      </c>
      <c r="D27" s="64">
        <f>C20+D24</f>
        <v>16200</v>
      </c>
      <c r="E27" s="64">
        <f>E20+E24</f>
        <v>21420</v>
      </c>
      <c r="F27" s="75">
        <f>(E27-C27)/C27</f>
        <v>0.7852975495915986</v>
      </c>
      <c r="G27" s="75">
        <f>(E27-D27)/D27</f>
        <v>0.32222222222222224</v>
      </c>
    </row>
  </sheetData>
  <sheetProtection/>
  <mergeCells count="6">
    <mergeCell ref="B2:F2"/>
    <mergeCell ref="E4:G4"/>
    <mergeCell ref="C17:D17"/>
    <mergeCell ref="C18:D18"/>
    <mergeCell ref="C19:D19"/>
    <mergeCell ref="C20:D2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5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2" max="2" width="55.7109375" style="0" customWidth="1"/>
    <col min="3" max="3" width="13.7109375" style="0" customWidth="1"/>
    <col min="4" max="4" width="0.13671875" style="0" hidden="1" customWidth="1"/>
    <col min="5" max="8" width="13.7109375" style="0" customWidth="1"/>
    <col min="9" max="9" width="14.8515625" style="0" customWidth="1"/>
    <col min="10" max="10" width="12.421875" style="0" customWidth="1"/>
    <col min="11" max="11" width="12.28125" style="0" customWidth="1"/>
  </cols>
  <sheetData>
    <row r="2" spans="2:11" ht="27.75">
      <c r="B2" s="148" t="s">
        <v>205</v>
      </c>
      <c r="C2" s="139"/>
      <c r="D2" s="139"/>
      <c r="E2" s="139"/>
      <c r="F2" s="140"/>
      <c r="G2" s="140"/>
      <c r="H2" s="140"/>
      <c r="I2" s="140"/>
      <c r="J2" s="140"/>
      <c r="K2" s="140"/>
    </row>
    <row r="3" spans="2:11" ht="27.75">
      <c r="B3" s="115" t="s">
        <v>221</v>
      </c>
      <c r="C3" s="116"/>
      <c r="D3" s="116"/>
      <c r="E3" s="116"/>
      <c r="F3" s="39"/>
      <c r="G3" s="149" t="s">
        <v>245</v>
      </c>
      <c r="H3" s="149"/>
      <c r="I3" s="149"/>
      <c r="J3" s="149"/>
      <c r="K3" s="39"/>
    </row>
    <row r="4" spans="2:9" ht="12.75">
      <c r="B4" s="71" t="s">
        <v>118</v>
      </c>
      <c r="I4" s="38" t="s">
        <v>246</v>
      </c>
    </row>
    <row r="5" spans="2:8" ht="12.75">
      <c r="B5" s="39" t="s">
        <v>229</v>
      </c>
      <c r="F5" s="141" t="s">
        <v>195</v>
      </c>
      <c r="G5" s="141"/>
      <c r="H5" s="141"/>
    </row>
    <row r="6" spans="2:8" ht="89.25">
      <c r="B6" s="125" t="s">
        <v>227</v>
      </c>
      <c r="E6" s="38"/>
      <c r="F6" s="118" t="s">
        <v>27</v>
      </c>
      <c r="G6" s="118" t="s">
        <v>28</v>
      </c>
      <c r="H6" s="118" t="s">
        <v>29</v>
      </c>
    </row>
    <row r="7" spans="2:8" ht="15">
      <c r="B7" s="125"/>
      <c r="E7" s="38"/>
      <c r="F7" s="118"/>
      <c r="G7" s="118"/>
      <c r="H7" s="118"/>
    </row>
    <row r="8" spans="2:8" ht="12.75">
      <c r="B8" s="54" t="s">
        <v>128</v>
      </c>
      <c r="C8" s="56">
        <v>210</v>
      </c>
      <c r="D8" s="52"/>
      <c r="E8" s="38" t="s">
        <v>117</v>
      </c>
      <c r="F8" s="119">
        <f>'Données ménage type'!B17*F12</f>
        <v>825</v>
      </c>
      <c r="G8" s="119">
        <f>'Données ménage type'!C17*G12</f>
        <v>775</v>
      </c>
      <c r="H8" s="119">
        <f>'Données ménage type'!D17*H12</f>
        <v>210</v>
      </c>
    </row>
    <row r="9" spans="2:8" ht="22.5">
      <c r="B9" s="53" t="s">
        <v>219</v>
      </c>
      <c r="C9" s="37"/>
      <c r="F9" s="119"/>
      <c r="G9" s="119"/>
      <c r="H9" s="119"/>
    </row>
    <row r="10" spans="2:8" ht="12.75">
      <c r="B10" s="60" t="s">
        <v>131</v>
      </c>
      <c r="C10" s="56">
        <v>0</v>
      </c>
      <c r="E10" s="38" t="s">
        <v>117</v>
      </c>
      <c r="F10" s="119">
        <v>0</v>
      </c>
      <c r="G10" s="119">
        <v>0</v>
      </c>
      <c r="H10" s="119">
        <v>0</v>
      </c>
    </row>
    <row r="11" spans="2:8" s="59" customFormat="1" ht="22.5">
      <c r="B11" s="53" t="s">
        <v>219</v>
      </c>
      <c r="C11" s="57"/>
      <c r="E11" s="14"/>
      <c r="F11" s="120"/>
      <c r="G11" s="120"/>
      <c r="H11" s="120"/>
    </row>
    <row r="12" spans="2:8" ht="12.75">
      <c r="B12" s="41" t="s">
        <v>218</v>
      </c>
      <c r="C12" s="56">
        <v>1</v>
      </c>
      <c r="F12" s="119">
        <f>'Données ménage type'!B24</f>
        <v>15</v>
      </c>
      <c r="G12" s="119">
        <f>'Données ménage type'!C24</f>
        <v>5</v>
      </c>
      <c r="H12" s="119">
        <f>'Données ménage type'!D24</f>
        <v>1</v>
      </c>
    </row>
    <row r="13" spans="2:8" ht="12.75">
      <c r="B13" s="41"/>
      <c r="C13" s="57"/>
      <c r="F13" s="119"/>
      <c r="G13" s="119"/>
      <c r="H13" s="119"/>
    </row>
    <row r="14" spans="2:8" ht="12.75">
      <c r="B14" s="55" t="s">
        <v>222</v>
      </c>
      <c r="C14" s="56">
        <v>2</v>
      </c>
      <c r="F14" s="119">
        <f>'Données ménage type'!B24*1</f>
        <v>15</v>
      </c>
      <c r="G14" s="119">
        <f>'Données ménage type'!C24*2</f>
        <v>10</v>
      </c>
      <c r="H14" s="119">
        <f>'Données ménage type'!D24*2</f>
        <v>2</v>
      </c>
    </row>
    <row r="15" spans="2:8" ht="12.75">
      <c r="B15" s="41" t="s">
        <v>223</v>
      </c>
      <c r="C15" s="56">
        <v>2</v>
      </c>
      <c r="F15" s="119">
        <f>'Données ménage type'!B24*0</f>
        <v>0</v>
      </c>
      <c r="G15" s="119">
        <f>'Données ménage type'!C24*1</f>
        <v>5</v>
      </c>
      <c r="H15" s="119">
        <f>'Données ménage type'!D24*2</f>
        <v>2</v>
      </c>
    </row>
    <row r="16" spans="2:8" ht="12.75">
      <c r="B16" s="39"/>
      <c r="C16" s="37"/>
      <c r="F16" s="119"/>
      <c r="G16" s="119"/>
      <c r="H16" s="119"/>
    </row>
    <row r="17" spans="2:8" ht="12.75">
      <c r="B17" s="41" t="s">
        <v>234</v>
      </c>
      <c r="C17" s="56">
        <v>150</v>
      </c>
      <c r="E17" s="38" t="s">
        <v>123</v>
      </c>
      <c r="F17" s="119">
        <f>'Données ménage type'!B29</f>
        <v>610</v>
      </c>
      <c r="G17" s="119">
        <f>'Données ménage type'!C29</f>
        <v>300</v>
      </c>
      <c r="H17" s="119">
        <f>'Données ménage type'!D29</f>
        <v>150</v>
      </c>
    </row>
    <row r="18" spans="2:8" ht="12.75">
      <c r="B18" s="122" t="s">
        <v>239</v>
      </c>
      <c r="C18" s="57"/>
      <c r="E18" s="38"/>
      <c r="F18" s="119"/>
      <c r="G18" s="119"/>
      <c r="H18" s="119"/>
    </row>
    <row r="19" spans="2:8" ht="12.75">
      <c r="B19" s="41" t="s">
        <v>135</v>
      </c>
      <c r="C19" s="56">
        <v>188</v>
      </c>
      <c r="E19" s="38" t="s">
        <v>123</v>
      </c>
      <c r="F19" s="119">
        <f>'Données ménage type'!B26</f>
        <v>1469</v>
      </c>
      <c r="G19" s="119">
        <f>'Données ménage type'!C26</f>
        <v>575</v>
      </c>
      <c r="H19" s="119">
        <f>'Données ménage type'!D26</f>
        <v>188</v>
      </c>
    </row>
    <row r="20" spans="2:8" ht="12.75">
      <c r="B20" s="132" t="s">
        <v>244</v>
      </c>
      <c r="C20" s="133">
        <f>'Données prix Bassins'!G18+(Nbre_d_appartements_dans_votre_imeuble_maison-1)*'Données prix Bassins'!G19</f>
        <v>80</v>
      </c>
      <c r="D20" s="128"/>
      <c r="E20" s="128" t="s">
        <v>123</v>
      </c>
      <c r="F20" s="119"/>
      <c r="G20" s="119"/>
      <c r="H20" s="119"/>
    </row>
    <row r="21" spans="2:8" ht="12.75">
      <c r="B21" s="41"/>
      <c r="C21" s="57"/>
      <c r="E21" s="38"/>
      <c r="F21" s="119"/>
      <c r="G21" s="119"/>
      <c r="H21" s="119"/>
    </row>
    <row r="22" spans="2:8" ht="30">
      <c r="B22" s="125" t="s">
        <v>228</v>
      </c>
      <c r="C22" s="37"/>
      <c r="F22" s="119"/>
      <c r="G22" s="119"/>
      <c r="H22" s="119"/>
    </row>
    <row r="23" spans="2:8" ht="15">
      <c r="B23" s="125"/>
      <c r="C23" s="37"/>
      <c r="F23" s="119"/>
      <c r="G23" s="119"/>
      <c r="H23" s="119"/>
    </row>
    <row r="24" spans="2:8" ht="12.75">
      <c r="B24" s="41" t="s">
        <v>124</v>
      </c>
      <c r="C24" s="56">
        <v>841</v>
      </c>
      <c r="E24" s="38" t="s">
        <v>125</v>
      </c>
      <c r="F24" s="119">
        <f>'Données ménage type'!B16</f>
        <v>210</v>
      </c>
      <c r="G24" s="119">
        <v>631</v>
      </c>
      <c r="H24" s="119">
        <v>841</v>
      </c>
    </row>
    <row r="25" spans="2:8" ht="12.75">
      <c r="B25" s="131" t="s">
        <v>160</v>
      </c>
      <c r="C25" s="78">
        <f>Quantité_d_ordures_ménagères/'Données ménage type'!D20</f>
        <v>172</v>
      </c>
      <c r="D25" s="80"/>
      <c r="E25" s="80" t="s">
        <v>161</v>
      </c>
      <c r="F25" s="119"/>
      <c r="G25" s="119"/>
      <c r="H25" s="119"/>
    </row>
    <row r="26" spans="2:8" ht="12.75">
      <c r="B26" s="41"/>
      <c r="C26" s="57"/>
      <c r="E26" s="38"/>
      <c r="F26" s="119"/>
      <c r="G26" s="119"/>
      <c r="H26" s="119"/>
    </row>
    <row r="27" spans="2:8" ht="12.75">
      <c r="B27" s="41" t="s">
        <v>126</v>
      </c>
      <c r="C27" s="56">
        <v>0</v>
      </c>
      <c r="E27" s="38" t="s">
        <v>125</v>
      </c>
      <c r="F27" s="119">
        <v>0</v>
      </c>
      <c r="G27" s="119">
        <v>0</v>
      </c>
      <c r="H27" s="119">
        <v>0</v>
      </c>
    </row>
    <row r="28" ht="12.75">
      <c r="B28" s="38"/>
    </row>
    <row r="29" spans="2:8" ht="12.75">
      <c r="B29" s="55" t="s">
        <v>120</v>
      </c>
      <c r="C29" s="56">
        <v>2</v>
      </c>
      <c r="F29" s="119">
        <f>'Données ménage type'!B18</f>
        <v>1</v>
      </c>
      <c r="G29" s="119">
        <f>'Données ménage type'!C18</f>
        <v>2</v>
      </c>
      <c r="H29" s="119">
        <f>'Données ménage type'!D18</f>
        <v>2</v>
      </c>
    </row>
    <row r="30" spans="2:8" ht="12.75">
      <c r="B30" s="41" t="s">
        <v>121</v>
      </c>
      <c r="C30" s="56">
        <v>2</v>
      </c>
      <c r="F30" s="119">
        <f>'Données ménage type'!B19</f>
        <v>0</v>
      </c>
      <c r="G30" s="119">
        <f>'Données ménage type'!C19</f>
        <v>1</v>
      </c>
      <c r="H30" s="119">
        <f>'Données ménage type'!D19</f>
        <v>2</v>
      </c>
    </row>
    <row r="31" spans="2:8" ht="12.75">
      <c r="B31" s="41"/>
      <c r="C31" s="57"/>
      <c r="F31" s="119"/>
      <c r="G31" s="119"/>
      <c r="H31" s="119"/>
    </row>
    <row r="32" spans="3:9" ht="12.75">
      <c r="C32" s="146" t="s">
        <v>191</v>
      </c>
      <c r="D32" s="147"/>
      <c r="E32" s="147"/>
      <c r="F32" s="147"/>
      <c r="G32" s="147"/>
      <c r="H32" s="147"/>
      <c r="I32" s="147"/>
    </row>
    <row r="33" spans="3:11" ht="38.25">
      <c r="C33" s="66">
        <v>2015</v>
      </c>
      <c r="D33" s="66"/>
      <c r="E33" s="66">
        <v>2016</v>
      </c>
      <c r="F33" s="66">
        <v>2017</v>
      </c>
      <c r="G33" s="66">
        <v>2018</v>
      </c>
      <c r="H33" s="66">
        <v>2019</v>
      </c>
      <c r="I33" s="112" t="s">
        <v>212</v>
      </c>
      <c r="J33" s="102" t="s">
        <v>192</v>
      </c>
      <c r="K33" s="102" t="s">
        <v>193</v>
      </c>
    </row>
    <row r="34" spans="2:10" ht="12.75">
      <c r="B34" s="1" t="s">
        <v>203</v>
      </c>
      <c r="J34" s="70"/>
    </row>
    <row r="35" spans="2:11" ht="12.75">
      <c r="B35" s="62" t="s">
        <v>226</v>
      </c>
      <c r="C35" s="63">
        <f>('Données prix Bassins'!B6+('Données prix Bassins'!B5*Nbre_d_appartements_dans_votre_imeuble_maison))</f>
        <v>45</v>
      </c>
      <c r="D35" s="63"/>
      <c r="E35" s="63">
        <f>('Données prix Bassins'!C6+('Données prix Bassins'!C5*Nbre_d_appartements_dans_votre_imeuble_maison))</f>
        <v>68.33333333333333</v>
      </c>
      <c r="F35" s="63">
        <f>('Données prix Bassins'!D6+('Données prix Bassins'!D5*Nbre_d_appartements_dans_votre_imeuble_maison))</f>
        <v>115</v>
      </c>
      <c r="G35" s="63">
        <f>('Données prix Bassins'!E6+('Données prix Bassins'!E5*Nbre_d_appartements_dans_votre_imeuble_maison))</f>
        <v>115</v>
      </c>
      <c r="H35" s="63">
        <f>('Données prix Bassins'!F6+('Données prix Bassins'!F5*Nbre_d_appartements_dans_votre_imeuble_maison))</f>
        <v>115</v>
      </c>
      <c r="I35" s="63">
        <f>('Données prix Bassins'!G6+('Données prix Bassins'!G5*Nbre_d_appartements_dans_votre_imeuble_maison))</f>
        <v>115</v>
      </c>
      <c r="J35" s="70"/>
      <c r="K35" s="70"/>
    </row>
    <row r="36" spans="2:11" ht="12.75">
      <c r="B36" s="62" t="s">
        <v>130</v>
      </c>
      <c r="C36" s="63">
        <f>(IF(Consommation_annuelle_d_eau_potable&gt;'Données prix Bassins'!B4,Consommation_annuelle_d_eau_potable*'Données prix Bassins'!B3,'Données prix Bassins'!B4*'Données prix Bassins'!B3))</f>
        <v>357</v>
      </c>
      <c r="D36" s="63"/>
      <c r="E36" s="63">
        <f>(IF(Consommation_annuelle_d_eau_potable&gt;'Données prix Bassins'!C4,Consommation_annuelle_d_eau_potable*'Données prix Bassins'!C3,'Données prix Bassins'!C4*'Données prix Bassins'!C3))</f>
        <v>441</v>
      </c>
      <c r="F36" s="63">
        <f>(IF(Consommation_annuelle_d_eau_potable&gt;'Données prix Bassins'!D4,Consommation_annuelle_d_eau_potable*'Données prix Bassins'!D3,'Données prix Bassins'!D4*'Données prix Bassins'!D3))</f>
        <v>567</v>
      </c>
      <c r="G36" s="63">
        <f>(IF(Consommation_annuelle_d_eau_potable&gt;'Données prix Bassins'!E4,Consommation_annuelle_d_eau_potable*'Données prix Bassins'!E3,'Données prix Bassins'!E4*'Données prix Bassins'!E3))</f>
        <v>462.00000000000006</v>
      </c>
      <c r="H36" s="63">
        <f>(IF(Consommation_annuelle_d_eau_potable&gt;'Données prix Bassins'!F4,Consommation_annuelle_d_eau_potable*'Données prix Bassins'!F3,'Données prix Bassins'!F4*'Données prix Bassins'!F3))</f>
        <v>462.00000000000006</v>
      </c>
      <c r="I36" s="63">
        <f>(IF(Consommation_annuelle_d_eau_potable&gt;'Données prix Bassins'!G4,Consommation_annuelle_d_eau_potable*'Données prix Bassins'!G3,'Données prix Bassins'!G4*'Données prix Bassins'!G3))</f>
        <v>336</v>
      </c>
      <c r="J36" s="70"/>
      <c r="K36" s="70"/>
    </row>
    <row r="37" spans="2:11" ht="12.75">
      <c r="B37" s="61" t="s">
        <v>190</v>
      </c>
      <c r="C37" s="64">
        <f>C35+C36</f>
        <v>402</v>
      </c>
      <c r="D37" s="64">
        <f aca="true" t="shared" si="0" ref="D37:I37">D35+D36</f>
        <v>0</v>
      </c>
      <c r="E37" s="64">
        <f t="shared" si="0"/>
        <v>509.3333333333333</v>
      </c>
      <c r="F37" s="64">
        <f t="shared" si="0"/>
        <v>682</v>
      </c>
      <c r="G37" s="64">
        <f t="shared" si="0"/>
        <v>577</v>
      </c>
      <c r="H37" s="64">
        <f t="shared" si="0"/>
        <v>577</v>
      </c>
      <c r="I37" s="64">
        <f t="shared" si="0"/>
        <v>451</v>
      </c>
      <c r="J37" s="76">
        <f>(I37-C37)/C37</f>
        <v>0.12189054726368159</v>
      </c>
      <c r="K37" s="76">
        <f>(I37-H37)/H37</f>
        <v>-0.21837088388214904</v>
      </c>
    </row>
    <row r="38" spans="2:11" ht="12.75">
      <c r="B38" s="103" t="s">
        <v>225</v>
      </c>
      <c r="C38" s="106">
        <f>(C$37/(Nombre_d_adultes_dans_votre_immeuble_maison+Nombre_d_enfants_dans_votre_immeuble_maison)/'Données prix Bassins'!B$41)</f>
        <v>2.868260901583842</v>
      </c>
      <c r="D38" s="106">
        <f>(D$37/(Nombre_d_adultes_dans_votre_ménage+Nombre_d_enfants_dans_votre_ménage)/'Données prix Bassins'!C$41)</f>
        <v>0</v>
      </c>
      <c r="E38" s="106">
        <f>(E$37/(Nombre_d_adultes_dans_votre_immeuble_maison+Nombre_d_enfants_dans_votre_immeuble_maison)/'Données prix Bassins'!C$41)</f>
        <v>3.4774652869581293</v>
      </c>
      <c r="F38" s="106">
        <f>(F$37/(Nombre_d_adultes_dans_votre_immeuble_maison+Nombre_d_enfants_dans_votre_immeuble_maison)/'Données prix Bassins'!D$41)</f>
        <v>4.466227953502891</v>
      </c>
      <c r="G38" s="106">
        <f>(G$37/(Nombre_d_adultes_dans_votre_immeuble_maison+Nombre_d_enfants_dans_votre_immeuble_maison)/'Données prix Bassins'!E$41)</f>
        <v>3.860972590509049</v>
      </c>
      <c r="H38" s="106">
        <f>(H$37/(Nombre_d_adultes_dans_votre_immeuble_maison+Nombre_d_enfants_dans_votre_immeuble_maison)/'Données prix Bassins'!F$41)</f>
        <v>3.860972590509049</v>
      </c>
      <c r="I38" s="106">
        <f>(I$37/(Nombre_d_adultes_dans_votre_immeuble_maison+Nombre_d_enfants_dans_votre_immeuble_maison)/'Données prix Bassins'!G$41)</f>
        <v>3.017848593274837</v>
      </c>
      <c r="J38" s="107">
        <f>I38-C38</f>
        <v>0.14958769169099506</v>
      </c>
      <c r="K38" s="107">
        <f>I38-H38</f>
        <v>-0.8431239972342119</v>
      </c>
    </row>
    <row r="39" spans="2:11" ht="12.75">
      <c r="B39" s="103"/>
      <c r="C39" s="104"/>
      <c r="D39" s="104"/>
      <c r="E39" s="104"/>
      <c r="F39" s="104"/>
      <c r="G39" s="104"/>
      <c r="H39" s="104"/>
      <c r="I39" s="104"/>
      <c r="J39" s="105"/>
      <c r="K39" s="105"/>
    </row>
    <row r="40" spans="2:11" ht="12.75">
      <c r="B40" s="1" t="s">
        <v>202</v>
      </c>
      <c r="J40" s="70"/>
      <c r="K40" s="70"/>
    </row>
    <row r="41" spans="2:11" ht="12.75">
      <c r="B41" s="62" t="s">
        <v>217</v>
      </c>
      <c r="C41" s="63">
        <f>'Données prix Bassins'!B20*($C$29+$C$30)</f>
        <v>0</v>
      </c>
      <c r="D41" s="63">
        <f>'Données prix Bassins'!B20*($G$29*$G$30)</f>
        <v>0</v>
      </c>
      <c r="E41" s="63">
        <f>'Données prix Bassins'!C20*(Nombre_d_adultes_dans_votre_ménage+Nombre_d_enfants_dans_votre_ménage)</f>
        <v>36</v>
      </c>
      <c r="F41" s="63">
        <f>'Données prix Bassins'!D20*($C$29+$C$30)</f>
        <v>0</v>
      </c>
      <c r="G41" s="63">
        <f>'Données prix Bassins'!E20*($C$29+$C$30)</f>
        <v>0</v>
      </c>
      <c r="H41" s="63">
        <f>'Données prix Bassins'!F20*($C$29+$C$30)</f>
        <v>0</v>
      </c>
      <c r="I41" s="63">
        <f>'Données prix Bassins'!G20*($C$29+$C$30)</f>
        <v>0</v>
      </c>
      <c r="J41" s="70"/>
      <c r="K41" s="70"/>
    </row>
    <row r="42" spans="2:11" ht="12.75">
      <c r="B42" s="62" t="s">
        <v>132</v>
      </c>
      <c r="C42" s="63">
        <f>(IF(Consommation_annuelle_d_eau_potable-Sous_compteur&gt;'Données prix Bassins'!B17,(Consommation_annuelle_d_eau_potable-Sous_compteur)*'Données prix Bassins'!B16,'Données prix Bassins'!B17*'Données prix Bassins'!B16))</f>
        <v>420</v>
      </c>
      <c r="D42" s="63"/>
      <c r="E42" s="63">
        <f>(IF(Consommation_annuelle_d_eau_potable-Sous_compteur&gt;'Données prix Bassins'!C17,(Consommation_annuelle_d_eau_potable-Sous_compteur)*'Données prix Bassins'!C16,'Données prix Bassins'!C17*'Données prix Bassins'!C16))</f>
        <v>420</v>
      </c>
      <c r="F42" s="63">
        <f>(IF(Consommation_annuelle_d_eau_potable-Sous_compteur&gt;'Données prix Bassins'!D17,(Consommation_annuelle_d_eau_potable-Sous_compteur)*'Données prix Bassins'!D16,'Données prix Bassins'!D17*'Données prix Bassins'!D16))</f>
        <v>420</v>
      </c>
      <c r="G42" s="63">
        <f>(IF(Consommation_annuelle_d_eau_potable-Sous_compteur&gt;'Données prix Bassins'!E17,(Consommation_annuelle_d_eau_potable-Sous_compteur)*'Données prix Bassins'!E16,'Données prix Bassins'!E17*'Données prix Bassins'!E16))</f>
        <v>420</v>
      </c>
      <c r="H42" s="63">
        <f>(IF(Consommation_annuelle_d_eau_potable-Sous_compteur&gt;'Données prix Bassins'!F17,(Consommation_annuelle_d_eau_potable-Sous_compteur)*'Données prix Bassins'!F16,'Données prix Bassins'!F17*'Données prix Bassins'!F16))</f>
        <v>420</v>
      </c>
      <c r="I42" s="63">
        <f>(IF(Consommation_annuelle_d_eau_potable-Sous_compteur&gt;'Données prix Bassins'!G17,(Consommation_annuelle_d_eau_potable-Sous_compteur)*'Données prix Bassins'!G16,'Données prix Bassins'!G17*'Données prix Bassins'!G16))</f>
        <v>336</v>
      </c>
      <c r="J42" s="70"/>
      <c r="K42" s="70"/>
    </row>
    <row r="43" spans="2:11" ht="12.75">
      <c r="B43" s="62" t="s">
        <v>237</v>
      </c>
      <c r="C43" s="63">
        <f>(IF(Surface_habitable_SBPu&gt;valeur_minimum_selon_règlement_2020,'Données prix Bassins'!B$21*Surface_habitable_SBPu,'Données prix Bassins'!B$21*valeur_minimum_selon_règlement_2020))</f>
        <v>0</v>
      </c>
      <c r="D43" s="63">
        <f>(IF(Surface_habitable_SBPu&gt;valeur_minimum_selon_règlement_2020,'Données prix Bassins'!B$21*Surface_habitable_SBPu,'Données prix Bassins'!B$21*valeur_minimum_selon_règlement_2020))</f>
        <v>0</v>
      </c>
      <c r="E43" s="63">
        <f>(IF(Surface_habitable_SBPu&gt;valeur_minimum_selon_règlement_2020,'Données prix Bassins'!C$21*Surface_habitable_SBPu,'Données prix Bassins'!C$21*valeur_minimum_selon_règlement_2020))</f>
        <v>0</v>
      </c>
      <c r="F43" s="63">
        <f>(IF(Surface_habitable_SBPu&gt;valeur_minimum_selon_règlement_2020,'Données prix Bassins'!D$21*Surface_habitable_SBPu,'Données prix Bassins'!D$21*valeur_minimum_selon_règlement_2020))</f>
        <v>0</v>
      </c>
      <c r="G43" s="63">
        <f>(IF(Surface_habitable_SBPu&gt;valeur_minimum_selon_règlement_2020,'Données prix Bassins'!E$21*Surface_habitable_SBPu,'Données prix Bassins'!E$21*valeur_minimum_selon_règlement_2020))</f>
        <v>0</v>
      </c>
      <c r="H43" s="63">
        <f>(IF(Surface_habitable_SBPu&gt;valeur_minimum_selon_règlement_2020,'Données prix Bassins'!F$21*Surface_habitable_SBPu,'Données prix Bassins'!F$21*valeur_minimum_selon_règlement_2020))</f>
        <v>0</v>
      </c>
      <c r="I43" s="63">
        <f>(IF(Surface_habitable_SBPu&gt;valeur_minimum_selon_règlement_2020,'Données prix Bassins'!G$21*Surface_habitable_SBPu,'Données prix Bassins'!G$21*valeur_minimum_selon_règlement_2020))</f>
        <v>206.8</v>
      </c>
      <c r="J43" s="70"/>
      <c r="K43" s="70"/>
    </row>
    <row r="44" spans="2:11" ht="12.75">
      <c r="B44" s="65" t="s">
        <v>133</v>
      </c>
      <c r="C44" s="63">
        <f>'Données prix Bassins'!B22*Surface_imperméabilisée_de_votre_habitation/Nbre_d_appartements_dans_votre_imeuble_maison</f>
        <v>0</v>
      </c>
      <c r="D44" s="63">
        <f>'Données prix Bassins'!B22*Surface_imperméabilisée_de_votre_habitation/Nbre_d_appartements_dans_votre_imeuble_maison</f>
        <v>0</v>
      </c>
      <c r="E44" s="63">
        <f>'Données prix Bassins'!C22*Surface_imperméabilisée_de_votre_habitation/Nbre_d_appartements_dans_votre_imeuble_maison</f>
        <v>0</v>
      </c>
      <c r="F44" s="63">
        <f>'Données prix Bassins'!D22*Surface_imperméabilisée_de_votre_habitation/Nbre_d_appartements_dans_votre_imeuble_maison</f>
        <v>0</v>
      </c>
      <c r="G44" s="63">
        <f>'Données prix Bassins'!E22*Surface_imperméabilisée_de_votre_habitation/Nbre_d_appartements_dans_votre_imeuble_maison</f>
        <v>0</v>
      </c>
      <c r="H44" s="63">
        <f>'Données prix Bassins'!F22*Surface_imperméabilisée_de_votre_habitation/Nbre_d_appartements_dans_votre_imeuble_maison</f>
        <v>0</v>
      </c>
      <c r="I44" s="63">
        <f>'Données prix Bassins'!G22*Surface_imperméabilisée_de_votre_habitation</f>
        <v>180</v>
      </c>
      <c r="J44" s="70"/>
      <c r="K44" s="70"/>
    </row>
    <row r="45" spans="2:11" ht="12.75">
      <c r="B45" s="61" t="s">
        <v>190</v>
      </c>
      <c r="C45" s="64">
        <f>SUM(C41:C44)</f>
        <v>420</v>
      </c>
      <c r="D45" s="64">
        <f aca="true" t="shared" si="1" ref="D45:I45">SUM(D41:D44)</f>
        <v>0</v>
      </c>
      <c r="E45" s="64">
        <f t="shared" si="1"/>
        <v>456</v>
      </c>
      <c r="F45" s="64">
        <f t="shared" si="1"/>
        <v>420</v>
      </c>
      <c r="G45" s="64">
        <f t="shared" si="1"/>
        <v>420</v>
      </c>
      <c r="H45" s="64">
        <f t="shared" si="1"/>
        <v>420</v>
      </c>
      <c r="I45" s="64">
        <f t="shared" si="1"/>
        <v>722.8</v>
      </c>
      <c r="J45" s="76">
        <f>(I45-C45)/C45</f>
        <v>0.7209523809523808</v>
      </c>
      <c r="K45" s="76">
        <f>(I45-H45)/H45</f>
        <v>0.7209523809523808</v>
      </c>
    </row>
    <row r="46" spans="2:11" ht="12.75">
      <c r="B46" s="103" t="s">
        <v>225</v>
      </c>
      <c r="C46" s="106">
        <f>(C$45/(Nombre_d_adultes_dans_votre_immeuble_maison+Nombre_d_enfants_dans_votre_immeuble_maison)/'Données prix Bassins'!B$41)</f>
        <v>2.9966904941920736</v>
      </c>
      <c r="D46" s="106">
        <f>(D$37/(Nombre_d_adultes_dans_votre_ménage+Nombre_d_enfants_dans_votre_ménage)/'Données prix Bassins'!C$41)</f>
        <v>0</v>
      </c>
      <c r="E46" s="106">
        <f>(E$45/(Nombre_d_adultes_dans_votre_immeuble_maison+Nombre_d_enfants_dans_votre_immeuble_maison)/'Données prix Bassins'!C$41)</f>
        <v>3.1133327961771737</v>
      </c>
      <c r="F46" s="106">
        <f>(F$45/(Nombre_d_adultes_dans_votre_immeuble_maison+Nombre_d_enfants_dans_votre_immeuble_maison)/'Données prix Bassins'!D$41)</f>
        <v>2.7504629625677626</v>
      </c>
      <c r="G46" s="106">
        <f>(G$45/(Nombre_d_adultes_dans_votre_immeuble_maison+Nombre_d_enfants_dans_votre_immeuble_maison)/'Données prix Bassins'!E$41)</f>
        <v>2.810413324114039</v>
      </c>
      <c r="H46" s="106">
        <f>(H$45/(Nombre_d_adultes_dans_votre_immeuble_maison+Nombre_d_enfants_dans_votre_immeuble_maison)/'Données prix Bassins'!F$41)</f>
        <v>2.810413324114039</v>
      </c>
      <c r="I46" s="106">
        <f>(I$45/(Nombre_d_adultes_dans_votre_immeuble_maison+Nombre_d_enfants_dans_votre_immeuble_maison)/'Données prix Bassins'!G$41)</f>
        <v>4.836587501594351</v>
      </c>
      <c r="J46" s="107">
        <f>I46-C46</f>
        <v>1.8398970074022771</v>
      </c>
      <c r="K46" s="107">
        <f>I46-H46</f>
        <v>2.0261741774803115</v>
      </c>
    </row>
    <row r="47" spans="2:11" ht="12.75">
      <c r="B47" s="103"/>
      <c r="C47" s="104"/>
      <c r="D47" s="104"/>
      <c r="E47" s="104"/>
      <c r="F47" s="104"/>
      <c r="G47" s="104"/>
      <c r="H47" s="104"/>
      <c r="I47" s="104"/>
      <c r="J47" s="105"/>
      <c r="K47" s="105"/>
    </row>
    <row r="48" spans="2:11" ht="12.75">
      <c r="B48" s="1" t="s">
        <v>204</v>
      </c>
      <c r="J48" s="70"/>
      <c r="K48" s="70"/>
    </row>
    <row r="49" spans="2:11" ht="12.75">
      <c r="B49" s="65" t="s">
        <v>136</v>
      </c>
      <c r="C49" s="63">
        <f>Nombre_d_adultes_dans_votre_ménage*'Données prix Bassins'!B30+Nombre_d_enfants_dans_votre_ménage*'Données prix Bassins'!B31</f>
        <v>56</v>
      </c>
      <c r="D49" s="3"/>
      <c r="E49" s="63">
        <f>Nombre_d_adultes_dans_votre_ménage*'Données prix Bassins'!C30+Nombre_d_enfants_dans_votre_ménage*'Données prix Bassins'!C31</f>
        <v>200</v>
      </c>
      <c r="F49" s="63">
        <f>Nombre_d_adultes_dans_votre_ménage*'Données prix Bassins'!D30+Nombre_d_enfants_dans_votre_ménage*'Données prix Bassins'!D31</f>
        <v>186</v>
      </c>
      <c r="G49" s="63">
        <f>Nombre_d_adultes_dans_votre_ménage*'Données prix Bassins'!E30+Nombre_d_enfants_dans_votre_ménage*'Données prix Bassins'!E31</f>
        <v>186</v>
      </c>
      <c r="H49" s="63">
        <f>Nombre_d_adultes_dans_votre_ménage*'Données prix Bassins'!F30+Nombre_d_enfants_dans_votre_ménage*'Données prix Bassins'!F31</f>
        <v>186</v>
      </c>
      <c r="I49" s="63">
        <f>Nombre_d_adultes_dans_votre_ménage*'Données prix Bassins'!G30+Nombre_d_enfants_dans_votre_ménage*'Données prix Bassins'!G31</f>
        <v>186</v>
      </c>
      <c r="J49" s="70"/>
      <c r="K49" s="70"/>
    </row>
    <row r="50" spans="2:11" ht="12.75">
      <c r="B50" s="62" t="s">
        <v>137</v>
      </c>
      <c r="C50" s="63">
        <f>Quantité_d_ordures_ménagères*'Données prix Bassins'!B28</f>
        <v>714.85</v>
      </c>
      <c r="D50" s="3"/>
      <c r="E50" s="63">
        <f>Quantité_d_ordures_ménagères*'Données prix Bassins'!C28</f>
        <v>714.85</v>
      </c>
      <c r="F50" s="63">
        <f>Quantité_d_ordures_ménagères*'Données prix Bassins'!D28</f>
        <v>714.85</v>
      </c>
      <c r="G50" s="63">
        <f>Quantité_d_ordures_ménagères*'Données prix Bassins'!E28</f>
        <v>714.85</v>
      </c>
      <c r="H50" s="63">
        <f>Quantité_d_ordures_ménagères*'Données prix Bassins'!F28</f>
        <v>714.85</v>
      </c>
      <c r="I50" s="63">
        <f>Quantité_d_ordures_ménagères*'Données prix Bassins'!G28</f>
        <v>714.85</v>
      </c>
      <c r="J50" s="70"/>
      <c r="K50" s="70"/>
    </row>
    <row r="51" spans="2:11" ht="12.75">
      <c r="B51" s="62" t="s">
        <v>138</v>
      </c>
      <c r="C51" s="63">
        <f>Quantité_d_encombrants__inertes__bois__déchets_verts__ferraille*'Données prix Bassins'!B29</f>
        <v>0</v>
      </c>
      <c r="D51" s="3"/>
      <c r="E51" s="63">
        <f>Quantité_d_encombrants__inertes__bois__déchets_verts__ferraille*'Données prix Bassins'!C29</f>
        <v>0</v>
      </c>
      <c r="F51" s="63">
        <f>Quantité_d_encombrants__inertes__bois__déchets_verts__ferraille*'Données prix Bassins'!D29</f>
        <v>0</v>
      </c>
      <c r="G51" s="63">
        <f>Quantité_d_encombrants__inertes__bois__déchets_verts__ferraille*'Données prix Bassins'!E29</f>
        <v>0</v>
      </c>
      <c r="H51" s="63">
        <f>Quantité_d_encombrants__inertes__bois__déchets_verts__ferraille*'Données prix Bassins'!F29</f>
        <v>0</v>
      </c>
      <c r="I51" s="63">
        <f>Quantité_d_encombrants__inertes__bois__déchets_verts__ferraille*'Données prix Bassins'!G29</f>
        <v>0</v>
      </c>
      <c r="J51" s="70"/>
      <c r="K51" s="70"/>
    </row>
    <row r="52" spans="2:11" ht="12.75">
      <c r="B52" s="61" t="s">
        <v>190</v>
      </c>
      <c r="C52" s="64">
        <f>SUM(C49:C51)</f>
        <v>770.85</v>
      </c>
      <c r="D52" s="64">
        <f aca="true" t="shared" si="2" ref="D52:I52">SUM(D49:D51)</f>
        <v>0</v>
      </c>
      <c r="E52" s="64">
        <f t="shared" si="2"/>
        <v>914.85</v>
      </c>
      <c r="F52" s="64">
        <f t="shared" si="2"/>
        <v>900.85</v>
      </c>
      <c r="G52" s="64">
        <f t="shared" si="2"/>
        <v>900.85</v>
      </c>
      <c r="H52" s="64">
        <f t="shared" si="2"/>
        <v>900.85</v>
      </c>
      <c r="I52" s="64">
        <f t="shared" si="2"/>
        <v>900.85</v>
      </c>
      <c r="J52" s="76">
        <f>(I52-C52)/C52</f>
        <v>0.16864500227022117</v>
      </c>
      <c r="K52" s="76">
        <f>(I52-H52)/H52</f>
        <v>0</v>
      </c>
    </row>
    <row r="53" spans="2:11" ht="12.75">
      <c r="B53" s="103" t="s">
        <v>224</v>
      </c>
      <c r="C53" s="106">
        <f>(C$52/(Nombre_d_adultes_dans_votre_ménage+Nombre_d_enfants_dans_votre_ménage)/'Données prix Bassins'!B$41)</f>
        <v>5.4999973034475245</v>
      </c>
      <c r="D53" s="106">
        <f>(D$37/(Nombre_d_adultes_dans_votre_ménage+Nombre_d_enfants_dans_votre_ménage)/'Données prix Bassins'!C$41)</f>
        <v>0</v>
      </c>
      <c r="E53" s="106">
        <f>(E$52/(Nombre_d_adultes_dans_votre_ménage+Nombre_d_enfants_dans_votre_ménage)/'Données prix Bassins'!C$41)</f>
        <v>6.2461239223304545</v>
      </c>
      <c r="F53" s="106">
        <f>(F$52/(Nombre_d_adultes_dans_votre_ménage+Nombre_d_enfants_dans_votre_ménage)/'Données prix Bassins'!D$41)</f>
        <v>5.899415618640878</v>
      </c>
      <c r="G53" s="106">
        <f>(G$52/(Nombre_d_adultes_dans_votre_ménage+Nombre_d_enfants_dans_votre_ménage)/'Données prix Bassins'!E$41)</f>
        <v>6.028002007209839</v>
      </c>
      <c r="H53" s="106">
        <f>(H$52/(Nombre_d_adultes_dans_votre_ménage+Nombre_d_enfants_dans_votre_ménage)/'Données prix Bassins'!F$41)</f>
        <v>6.028002007209839</v>
      </c>
      <c r="I53" s="106">
        <f>(I$52/(Nombre_d_adultes_dans_votre_ménage+Nombre_d_enfants_dans_votre_ménage)/'Données prix Bassins'!G$41)</f>
        <v>6.028002007209839</v>
      </c>
      <c r="J53" s="107">
        <f>I53-C53</f>
        <v>0.5280047037623143</v>
      </c>
      <c r="K53" s="107">
        <f>I53-H53</f>
        <v>0</v>
      </c>
    </row>
    <row r="54" spans="2:11" ht="12.75">
      <c r="B54" s="103"/>
      <c r="C54" s="104"/>
      <c r="D54" s="104"/>
      <c r="E54" s="104"/>
      <c r="F54" s="104"/>
      <c r="G54" s="104"/>
      <c r="H54" s="104"/>
      <c r="I54" s="104"/>
      <c r="J54" s="105"/>
      <c r="K54" s="105"/>
    </row>
    <row r="55" spans="2:11" ht="12.75">
      <c r="B55" s="61" t="s">
        <v>139</v>
      </c>
      <c r="C55" s="64">
        <f>C37+C45+C52</f>
        <v>1592.85</v>
      </c>
      <c r="D55" s="3"/>
      <c r="E55" s="64">
        <f>E37+E45+E52</f>
        <v>1880.1833333333334</v>
      </c>
      <c r="F55" s="64">
        <f>F37+F45+F52</f>
        <v>2002.85</v>
      </c>
      <c r="G55" s="64">
        <f>G37+G45+G52</f>
        <v>1897.85</v>
      </c>
      <c r="H55" s="64">
        <f>H37+H45+H52</f>
        <v>1897.85</v>
      </c>
      <c r="I55" s="64">
        <f>I37+I45+I52</f>
        <v>2074.65</v>
      </c>
      <c r="J55" s="76">
        <f>(I55-C55)/C55</f>
        <v>0.3024766927205953</v>
      </c>
      <c r="K55" s="76">
        <f>(I55-H55)/H55</f>
        <v>0.09315804726400938</v>
      </c>
    </row>
    <row r="56" spans="2:11" ht="12.75">
      <c r="B56" s="103" t="s">
        <v>225</v>
      </c>
      <c r="C56" s="106">
        <f>(C$55/(Nombre_d_adultes_dans_votre_immeuble_maison+Nombre_d_enfants_dans_votre_immeuble_maison)/'Données prix Bassins'!B$41)</f>
        <v>11.364948699223438</v>
      </c>
      <c r="D56" s="106">
        <f>(D$37/(Nombre_d_adultes_dans_votre_ménage+Nombre_d_enfants_dans_votre_ménage)/'Données prix Bassins'!C$41)</f>
        <v>0</v>
      </c>
      <c r="E56" s="106">
        <f>(E$55/(Nombre_d_adultes_dans_votre_immeuble_maison+Nombre_d_enfants_dans_votre_immeuble_maison)/'Données prix Bassins'!C$41)</f>
        <v>12.836922005465759</v>
      </c>
      <c r="F56" s="106">
        <f>(F$55/(Nombre_d_adultes_dans_votre_immeuble_maison+Nombre_d_enfants_dans_votre_immeuble_maison)/'Données prix Bassins'!D$41)</f>
        <v>13.11610653471153</v>
      </c>
      <c r="G56" s="106">
        <f>(G$55/(Nombre_d_adultes_dans_votre_immeuble_maison+Nombre_d_enfants_dans_votre_immeuble_maison)/'Données prix Bassins'!E$41)</f>
        <v>12.699387921832926</v>
      </c>
      <c r="H56" s="106">
        <f>(H$55/(Nombre_d_adultes_dans_votre_immeuble_maison+Nombre_d_enfants_dans_votre_immeuble_maison)/'Données prix Bassins'!F$41)</f>
        <v>12.699387921832926</v>
      </c>
      <c r="I56" s="106">
        <f>(I$55/(Nombre_d_adultes_dans_votre_immeuble_maison+Nombre_d_enfants_dans_votre_immeuble_maison)/'Données prix Bassins'!G$41)</f>
        <v>13.882438102079027</v>
      </c>
      <c r="J56" s="107">
        <f>I56-C56</f>
        <v>2.5174894028555883</v>
      </c>
      <c r="K56" s="107">
        <f>I56-H56</f>
        <v>1.1830501802461004</v>
      </c>
    </row>
    <row r="58" spans="2:10" ht="12.75" customHeight="1">
      <c r="B58" t="s">
        <v>156</v>
      </c>
      <c r="C58" s="58">
        <f aca="true" t="shared" si="3" ref="C58:I58">C37/Consommation_annuelle_d_eau_potable</f>
        <v>1.9142857142857144</v>
      </c>
      <c r="D58" s="58">
        <f t="shared" si="3"/>
        <v>0</v>
      </c>
      <c r="E58" s="58">
        <f t="shared" si="3"/>
        <v>2.425396825396825</v>
      </c>
      <c r="F58" s="58">
        <f t="shared" si="3"/>
        <v>3.2476190476190476</v>
      </c>
      <c r="G58" s="58">
        <f t="shared" si="3"/>
        <v>2.7476190476190476</v>
      </c>
      <c r="H58" s="58">
        <f t="shared" si="3"/>
        <v>2.7476190476190476</v>
      </c>
      <c r="I58" s="58">
        <f t="shared" si="3"/>
        <v>2.1476190476190475</v>
      </c>
      <c r="J58" s="76"/>
    </row>
    <row r="59" spans="3:10" ht="12.75">
      <c r="C59" s="58"/>
      <c r="D59" s="58"/>
      <c r="E59" s="58"/>
      <c r="F59" s="58"/>
      <c r="G59" s="58"/>
      <c r="H59" s="58"/>
      <c r="I59" s="58"/>
      <c r="J59" s="76"/>
    </row>
    <row r="60" spans="2:9" ht="12.75">
      <c r="B60" t="s">
        <v>155</v>
      </c>
      <c r="C60" s="58">
        <f aca="true" t="shared" si="4" ref="C60:I60">C45/(Consommation_annuelle_d_eau_potable-Sous_compteur)</f>
        <v>2</v>
      </c>
      <c r="D60" s="58">
        <f t="shared" si="4"/>
        <v>0</v>
      </c>
      <c r="E60" s="58">
        <f t="shared" si="4"/>
        <v>2.1714285714285713</v>
      </c>
      <c r="F60" s="58">
        <f t="shared" si="4"/>
        <v>2</v>
      </c>
      <c r="G60" s="58">
        <f t="shared" si="4"/>
        <v>2</v>
      </c>
      <c r="H60" s="58">
        <f t="shared" si="4"/>
        <v>2</v>
      </c>
      <c r="I60" s="58">
        <f t="shared" si="4"/>
        <v>3.4419047619047616</v>
      </c>
    </row>
    <row r="61" spans="3:9" ht="12.75">
      <c r="C61" s="58"/>
      <c r="D61" s="58"/>
      <c r="E61" s="58"/>
      <c r="F61" s="58"/>
      <c r="G61" s="58"/>
      <c r="H61" s="58"/>
      <c r="I61" s="58"/>
    </row>
    <row r="62" spans="2:9" ht="12.75">
      <c r="B62" t="s">
        <v>157</v>
      </c>
      <c r="C62" s="58">
        <f aca="true" t="shared" si="5" ref="C62:I62">C52/Quantité_d_ordures_ménagères</f>
        <v>0.9165873959571939</v>
      </c>
      <c r="D62" s="58">
        <f t="shared" si="5"/>
        <v>0</v>
      </c>
      <c r="E62" s="58">
        <f t="shared" si="5"/>
        <v>1.0878121284185494</v>
      </c>
      <c r="F62" s="58">
        <f t="shared" si="5"/>
        <v>1.071165279429251</v>
      </c>
      <c r="G62" s="58">
        <f t="shared" si="5"/>
        <v>1.071165279429251</v>
      </c>
      <c r="H62" s="58">
        <f t="shared" si="5"/>
        <v>1.071165279429251</v>
      </c>
      <c r="I62" s="58">
        <f t="shared" si="5"/>
        <v>1.071165279429251</v>
      </c>
    </row>
    <row r="63" spans="2:9" ht="12.75">
      <c r="B63" t="s">
        <v>159</v>
      </c>
      <c r="C63" s="58">
        <f aca="true" t="shared" si="6" ref="C63:I63">C52/Nombre_de_sac_35l</f>
        <v>4.481686046511628</v>
      </c>
      <c r="D63" s="58">
        <f t="shared" si="6"/>
        <v>0</v>
      </c>
      <c r="E63" s="58">
        <f t="shared" si="6"/>
        <v>5.318895348837209</v>
      </c>
      <c r="F63" s="58">
        <f t="shared" si="6"/>
        <v>5.2375</v>
      </c>
      <c r="G63" s="58">
        <f t="shared" si="6"/>
        <v>5.2375</v>
      </c>
      <c r="H63" s="58">
        <f t="shared" si="6"/>
        <v>5.2375</v>
      </c>
      <c r="I63" s="58">
        <f t="shared" si="6"/>
        <v>5.2375</v>
      </c>
    </row>
    <row r="65" ht="12.75">
      <c r="I65" s="111"/>
    </row>
  </sheetData>
  <sheetProtection/>
  <mergeCells count="4">
    <mergeCell ref="F5:H5"/>
    <mergeCell ref="C32:I32"/>
    <mergeCell ref="B2:K2"/>
    <mergeCell ref="G3:J3"/>
  </mergeCells>
  <hyperlinks>
    <hyperlink ref="I33" r:id="rId1" display="Projection 2020 selon préavis 13-19"/>
    <hyperlink ref="G3:J3" r:id="rId2" display="Vous avez des remarques, des questions, constaté des erreurs : contact@gcbassins.ch "/>
  </hyperlinks>
  <printOptions/>
  <pageMargins left="0.25" right="0.25" top="0.75" bottom="0.75" header="0.3" footer="0.3"/>
  <pageSetup fitToHeight="1" fitToWidth="1" horizontalDpi="600" verticalDpi="600" orientation="portrait" paperSize="9" scale="5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="115" zoomScaleNormal="115" zoomScalePageLayoutView="0" workbookViewId="0" topLeftCell="A1">
      <selection activeCell="E28" sqref="E28"/>
    </sheetView>
  </sheetViews>
  <sheetFormatPr defaultColWidth="11.421875" defaultRowHeight="12.75"/>
  <cols>
    <col min="2" max="2" width="55.7109375" style="0" customWidth="1"/>
    <col min="3" max="3" width="13.7109375" style="0" customWidth="1"/>
    <col min="4" max="4" width="0.13671875" style="0" hidden="1" customWidth="1"/>
    <col min="5" max="9" width="13.7109375" style="0" customWidth="1"/>
    <col min="10" max="10" width="12.421875" style="0" customWidth="1"/>
    <col min="11" max="11" width="12.28125" style="0" customWidth="1"/>
  </cols>
  <sheetData>
    <row r="2" spans="2:11" ht="27.75">
      <c r="B2" s="148" t="s">
        <v>205</v>
      </c>
      <c r="C2" s="139"/>
      <c r="D2" s="139"/>
      <c r="E2" s="139"/>
      <c r="F2" s="140"/>
      <c r="G2" s="140"/>
      <c r="H2" s="140"/>
      <c r="I2" s="140"/>
      <c r="J2" s="140"/>
      <c r="K2" s="140"/>
    </row>
    <row r="3" spans="2:11" ht="27.75">
      <c r="B3" s="115" t="s">
        <v>231</v>
      </c>
      <c r="C3" s="116"/>
      <c r="D3" s="116"/>
      <c r="E3" s="116"/>
      <c r="F3" s="39"/>
      <c r="G3" s="39"/>
      <c r="H3" s="39"/>
      <c r="I3" s="39"/>
      <c r="J3" s="39"/>
      <c r="K3" s="39"/>
    </row>
    <row r="4" spans="2:9" ht="12.75">
      <c r="B4" s="71" t="s">
        <v>118</v>
      </c>
      <c r="I4" s="38" t="s">
        <v>208</v>
      </c>
    </row>
    <row r="5" spans="2:8" ht="12.75">
      <c r="B5" s="39" t="s">
        <v>229</v>
      </c>
      <c r="F5" s="141" t="s">
        <v>195</v>
      </c>
      <c r="G5" s="141"/>
      <c r="H5" s="141"/>
    </row>
    <row r="6" spans="2:8" ht="89.25">
      <c r="B6" s="125" t="s">
        <v>233</v>
      </c>
      <c r="E6" s="38"/>
      <c r="F6" s="118" t="s">
        <v>27</v>
      </c>
      <c r="G6" s="118" t="s">
        <v>28</v>
      </c>
      <c r="H6" s="118" t="s">
        <v>29</v>
      </c>
    </row>
    <row r="7" spans="2:8" ht="15">
      <c r="B7" s="125"/>
      <c r="E7" s="38"/>
      <c r="F7" s="118"/>
      <c r="G7" s="118"/>
      <c r="H7" s="118"/>
    </row>
    <row r="8" spans="2:8" ht="12.75">
      <c r="B8" s="55" t="s">
        <v>120</v>
      </c>
      <c r="C8" s="56">
        <v>1</v>
      </c>
      <c r="F8" s="119">
        <f>'Données ménage type'!B18</f>
        <v>1</v>
      </c>
      <c r="G8" s="119">
        <f>'Données ménage type'!C18</f>
        <v>2</v>
      </c>
      <c r="H8" s="119">
        <f>'Données ménage type'!D18</f>
        <v>2</v>
      </c>
    </row>
    <row r="9" spans="2:8" ht="12.75">
      <c r="B9" s="41" t="s">
        <v>121</v>
      </c>
      <c r="C9" s="56">
        <v>0</v>
      </c>
      <c r="F9" s="119">
        <f>'Données ménage type'!B19</f>
        <v>0</v>
      </c>
      <c r="G9" s="119">
        <f>'Données ménage type'!C19</f>
        <v>1</v>
      </c>
      <c r="H9" s="119">
        <f>'Données ménage type'!D19</f>
        <v>2</v>
      </c>
    </row>
    <row r="10" spans="2:8" ht="15">
      <c r="B10" s="125"/>
      <c r="E10" s="38"/>
      <c r="F10" s="118"/>
      <c r="G10" s="118"/>
      <c r="H10" s="118"/>
    </row>
    <row r="11" spans="2:8" ht="12.75">
      <c r="B11" s="54" t="s">
        <v>232</v>
      </c>
      <c r="C11" s="56">
        <v>55</v>
      </c>
      <c r="D11" s="52"/>
      <c r="E11" s="38" t="s">
        <v>117</v>
      </c>
      <c r="F11" s="130">
        <f>'Données ménage type'!B17/(F8+F9)</f>
        <v>55</v>
      </c>
      <c r="G11" s="130">
        <f>'Données ménage type'!C17/(G8+G9)</f>
        <v>51.666666666666664</v>
      </c>
      <c r="H11" s="130">
        <f>'Données ménage type'!D17/(H8+H9)</f>
        <v>52.5</v>
      </c>
    </row>
    <row r="12" spans="2:8" ht="22.5">
      <c r="B12" s="53" t="s">
        <v>241</v>
      </c>
      <c r="C12" s="37"/>
      <c r="F12" s="119"/>
      <c r="G12" s="119"/>
      <c r="H12" s="119"/>
    </row>
    <row r="13" spans="2:8" s="59" customFormat="1" ht="12.75">
      <c r="B13" s="126" t="s">
        <v>240</v>
      </c>
      <c r="C13" s="127">
        <f>Consommation_annuelle_d_eau_potable*(Nombre_d_adultes_dans_votre_ménage+Nombre_d_enfants_dans_votre_ménage)</f>
        <v>55</v>
      </c>
      <c r="E13" s="128" t="s">
        <v>117</v>
      </c>
      <c r="F13" s="120">
        <f>'Données ménage type'!B17</f>
        <v>55</v>
      </c>
      <c r="G13" s="120">
        <f>'Données ménage type'!C17</f>
        <v>155</v>
      </c>
      <c r="H13" s="120">
        <f>'Données ménage type'!D17</f>
        <v>210</v>
      </c>
    </row>
    <row r="14" spans="2:8" s="59" customFormat="1" ht="12.75">
      <c r="B14" s="53"/>
      <c r="C14" s="57"/>
      <c r="E14" s="14"/>
      <c r="F14" s="120"/>
      <c r="G14" s="120"/>
      <c r="H14" s="120"/>
    </row>
    <row r="15" spans="2:8" ht="12.75">
      <c r="B15" s="41" t="s">
        <v>218</v>
      </c>
      <c r="C15" s="56">
        <v>15</v>
      </c>
      <c r="F15" s="119">
        <f>'Données ménage type'!B24</f>
        <v>15</v>
      </c>
      <c r="G15" s="119">
        <f>'Données ménage type'!C24</f>
        <v>5</v>
      </c>
      <c r="H15" s="119">
        <f>'Données ménage type'!D24</f>
        <v>1</v>
      </c>
    </row>
    <row r="16" spans="2:8" ht="12.75">
      <c r="B16" s="41"/>
      <c r="C16" s="57"/>
      <c r="F16" s="119"/>
      <c r="G16" s="119"/>
      <c r="H16" s="119"/>
    </row>
    <row r="17" spans="2:8" ht="12.75">
      <c r="B17" s="39"/>
      <c r="C17" s="37"/>
      <c r="F17" s="119"/>
      <c r="G17" s="119"/>
      <c r="H17" s="119"/>
    </row>
    <row r="18" spans="2:8" ht="12.75">
      <c r="B18" s="41" t="s">
        <v>234</v>
      </c>
      <c r="C18" s="56">
        <v>610</v>
      </c>
      <c r="E18" s="38" t="s">
        <v>123</v>
      </c>
      <c r="F18" s="119">
        <f>'Données ménage type'!B29</f>
        <v>610</v>
      </c>
      <c r="G18" s="119">
        <f>'Données ménage type'!C29</f>
        <v>300</v>
      </c>
      <c r="H18" s="119">
        <f>'Données ménage type'!D29</f>
        <v>150</v>
      </c>
    </row>
    <row r="19" spans="2:8" ht="12.75">
      <c r="B19" s="122" t="s">
        <v>220</v>
      </c>
      <c r="C19" s="57"/>
      <c r="E19" s="38"/>
      <c r="F19" s="119"/>
      <c r="G19" s="119"/>
      <c r="H19" s="119"/>
    </row>
    <row r="20" spans="2:8" ht="12.75">
      <c r="B20" s="41" t="s">
        <v>238</v>
      </c>
      <c r="C20" s="56">
        <v>69</v>
      </c>
      <c r="E20" s="38" t="s">
        <v>123</v>
      </c>
      <c r="F20" s="119">
        <f>'Données ménage type'!B10</f>
        <v>69</v>
      </c>
      <c r="G20" s="119">
        <f>'Données ménage type'!C10</f>
        <v>125</v>
      </c>
      <c r="H20" s="119">
        <f>'Données ménage type'!D10</f>
        <v>188</v>
      </c>
    </row>
    <row r="21" spans="2:8" ht="12.75">
      <c r="B21" s="41"/>
      <c r="C21" s="57"/>
      <c r="E21" s="38"/>
      <c r="F21" s="119"/>
      <c r="G21" s="119"/>
      <c r="H21" s="119"/>
    </row>
    <row r="22" spans="2:8" ht="12.75">
      <c r="B22" s="41"/>
      <c r="C22" s="57"/>
      <c r="E22" s="38"/>
      <c r="F22" s="119"/>
      <c r="G22" s="119"/>
      <c r="H22" s="119"/>
    </row>
    <row r="23" spans="2:8" ht="30">
      <c r="B23" s="125" t="s">
        <v>228</v>
      </c>
      <c r="C23" s="37"/>
      <c r="F23" s="119"/>
      <c r="G23" s="119"/>
      <c r="H23" s="119"/>
    </row>
    <row r="24" spans="2:8" ht="15">
      <c r="B24" s="125"/>
      <c r="C24" s="37"/>
      <c r="F24" s="119"/>
      <c r="G24" s="119"/>
      <c r="H24" s="119"/>
    </row>
    <row r="25" spans="2:8" ht="12.75">
      <c r="B25" s="41" t="s">
        <v>124</v>
      </c>
      <c r="C25" s="56">
        <v>210</v>
      </c>
      <c r="E25" s="38" t="s">
        <v>125</v>
      </c>
      <c r="F25" s="119">
        <f>'Données ménage type'!B16</f>
        <v>210</v>
      </c>
      <c r="G25" s="119">
        <v>631</v>
      </c>
      <c r="H25" s="119">
        <v>841</v>
      </c>
    </row>
    <row r="26" spans="2:8" ht="12.75">
      <c r="B26" s="79" t="s">
        <v>160</v>
      </c>
      <c r="C26" s="78">
        <f>Quantité_d_ordures_ménagères/'Données ménage type'!D20</f>
        <v>42.94887039239001</v>
      </c>
      <c r="D26" s="80"/>
      <c r="E26" s="80" t="s">
        <v>161</v>
      </c>
      <c r="F26" s="119"/>
      <c r="G26" s="119"/>
      <c r="H26" s="119"/>
    </row>
    <row r="27" spans="2:8" ht="12.75">
      <c r="B27" s="41"/>
      <c r="C27" s="57"/>
      <c r="E27" s="38"/>
      <c r="F27" s="119"/>
      <c r="G27" s="119"/>
      <c r="H27" s="119"/>
    </row>
    <row r="28" spans="2:8" ht="12.75">
      <c r="B28" s="41" t="s">
        <v>126</v>
      </c>
      <c r="C28" s="56">
        <v>0</v>
      </c>
      <c r="E28" s="38" t="s">
        <v>125</v>
      </c>
      <c r="F28" s="119">
        <v>0</v>
      </c>
      <c r="G28" s="119">
        <v>0</v>
      </c>
      <c r="H28" s="119">
        <v>0</v>
      </c>
    </row>
    <row r="29" ht="12.75">
      <c r="B29" s="38"/>
    </row>
    <row r="32" spans="2:8" ht="12.75">
      <c r="B32" s="41"/>
      <c r="C32" s="57"/>
      <c r="F32" s="119"/>
      <c r="G32" s="119"/>
      <c r="H32" s="119"/>
    </row>
    <row r="33" spans="3:9" ht="12.75">
      <c r="C33" s="146" t="s">
        <v>191</v>
      </c>
      <c r="D33" s="147"/>
      <c r="E33" s="147"/>
      <c r="F33" s="147"/>
      <c r="G33" s="147"/>
      <c r="H33" s="147"/>
      <c r="I33" s="147"/>
    </row>
    <row r="34" spans="3:11" ht="38.25">
      <c r="C34" s="66">
        <v>2015</v>
      </c>
      <c r="D34" s="66"/>
      <c r="E34" s="66">
        <v>2016</v>
      </c>
      <c r="F34" s="66">
        <v>2017</v>
      </c>
      <c r="G34" s="66">
        <v>2018</v>
      </c>
      <c r="H34" s="66">
        <v>2019</v>
      </c>
      <c r="I34" s="112" t="s">
        <v>212</v>
      </c>
      <c r="J34" s="102" t="s">
        <v>192</v>
      </c>
      <c r="K34" s="102" t="s">
        <v>193</v>
      </c>
    </row>
    <row r="35" spans="2:10" ht="12.75">
      <c r="B35" s="1" t="s">
        <v>203</v>
      </c>
      <c r="J35" s="70"/>
    </row>
    <row r="36" spans="2:11" ht="12.75">
      <c r="B36" s="62" t="s">
        <v>226</v>
      </c>
      <c r="C36" s="63">
        <f>('Données prix Bassins'!B6+('Données prix Bassins'!B5*Nbre_d_appartements_dans_votre_imeuble_maison))/Nbre_d_appartements_dans_votre_imeuble_maison</f>
        <v>3</v>
      </c>
      <c r="D36" s="63"/>
      <c r="E36" s="63">
        <f>('Données prix Bassins'!C6+('Données prix Bassins'!C5*Nbre_d_appartements_dans_votre_imeuble_maison))/Nbre_d_appartements_dans_votre_imeuble_maison</f>
        <v>31</v>
      </c>
      <c r="F36" s="63">
        <f>('Données prix Bassins'!D6+('Données prix Bassins'!D5*Nbre_d_appartements_dans_votre_imeuble_maison))/Nbre_d_appartements_dans_votre_imeuble_maison</f>
        <v>87</v>
      </c>
      <c r="G36" s="63">
        <f>('Données prix Bassins'!E6+('Données prix Bassins'!E5*Nbre_d_appartements_dans_votre_imeuble_maison))/Nbre_d_appartements_dans_votre_imeuble_maison</f>
        <v>87</v>
      </c>
      <c r="H36" s="63">
        <f>('Données prix Bassins'!F6+('Données prix Bassins'!F5*Nbre_d_appartements_dans_votre_imeuble_maison))/Nbre_d_appartements_dans_votre_imeuble_maison</f>
        <v>87</v>
      </c>
      <c r="I36" s="63">
        <f>('Données prix Bassins'!G6+('Données prix Bassins'!G5*Nbre_d_appartements_dans_votre_imeuble_maison))/Nbre_d_appartements_dans_votre_imeuble_maison</f>
        <v>87</v>
      </c>
      <c r="J36" s="70"/>
      <c r="K36" s="70"/>
    </row>
    <row r="37" spans="2:11" ht="12.75">
      <c r="B37" s="62" t="s">
        <v>130</v>
      </c>
      <c r="C37" s="63">
        <f>Consommation_annuelle_d_eau_potable_par_menage*'Données prix Bassins'!B3</f>
        <v>93.5</v>
      </c>
      <c r="D37" s="63"/>
      <c r="E37" s="63">
        <f>Consommation_annuelle_d_eau_potable_par_menage*'Données prix Bassins'!C3</f>
        <v>115.5</v>
      </c>
      <c r="F37" s="63">
        <f>Consommation_annuelle_d_eau_potable_par_menage*'Données prix Bassins'!D3</f>
        <v>148.5</v>
      </c>
      <c r="G37" s="63">
        <f>Consommation_annuelle_d_eau_potable_par_menage*'Données prix Bassins'!E3</f>
        <v>121.00000000000001</v>
      </c>
      <c r="H37" s="63">
        <f>Consommation_annuelle_d_eau_potable_par_menage*'Données prix Bassins'!F3</f>
        <v>121.00000000000001</v>
      </c>
      <c r="I37" s="63">
        <f>Consommation_annuelle_d_eau_potable_par_menage*'Données prix Bassins'!G3</f>
        <v>88</v>
      </c>
      <c r="J37" s="70"/>
      <c r="K37" s="70"/>
    </row>
    <row r="38" spans="2:11" ht="12.75">
      <c r="B38" s="61" t="s">
        <v>190</v>
      </c>
      <c r="C38" s="64">
        <f>C36+C37</f>
        <v>96.5</v>
      </c>
      <c r="D38" s="64">
        <f aca="true" t="shared" si="0" ref="D38:I38">D36+D37</f>
        <v>0</v>
      </c>
      <c r="E38" s="64">
        <f t="shared" si="0"/>
        <v>146.5</v>
      </c>
      <c r="F38" s="64">
        <f t="shared" si="0"/>
        <v>235.5</v>
      </c>
      <c r="G38" s="64">
        <f t="shared" si="0"/>
        <v>208</v>
      </c>
      <c r="H38" s="64">
        <f t="shared" si="0"/>
        <v>208</v>
      </c>
      <c r="I38" s="64">
        <f t="shared" si="0"/>
        <v>175</v>
      </c>
      <c r="J38" s="76">
        <f>(I38-C38)/C38</f>
        <v>0.8134715025906736</v>
      </c>
      <c r="K38" s="76">
        <f>(I38-H38)/H38</f>
        <v>-0.15865384615384615</v>
      </c>
    </row>
    <row r="39" spans="2:11" ht="12.75">
      <c r="B39" s="103" t="s">
        <v>235</v>
      </c>
      <c r="C39" s="106">
        <f>(C$38/(Nombre_d_adultes_dans_votre_ménage+Nombre_d_enfants_dans_votre_ménage)/'Données prix Bassins'!B$41)</f>
        <v>2.7541012637098583</v>
      </c>
      <c r="D39" s="106">
        <f>(D$38/(Nombre_d_adultes_dans_votre_ménage+Nombre_d_enfants_dans_votre_ménage)/'Données prix Bassins'!C$41)</f>
        <v>0</v>
      </c>
      <c r="E39" s="106">
        <f>(E$38/(Nombre_d_adultes_dans_votre_ménage+Nombre_d_enfants_dans_votre_ménage)/'Données prix Bassins'!C$41)</f>
        <v>4.000905742455754</v>
      </c>
      <c r="F39" s="106">
        <f>(F$38/(Nombre_d_adultes_dans_votre_ménage+Nombre_d_enfants_dans_votre_ménage)/'Données prix Bassins'!D$41)</f>
        <v>6.168895501759125</v>
      </c>
      <c r="G39" s="106">
        <f>(G$38/(Nombre_d_adultes_dans_votre_ménage+Nombre_d_enfants_dans_votre_ménage)/'Données prix Bassins'!E$41)</f>
        <v>5.567294965864001</v>
      </c>
      <c r="H39" s="106">
        <f>(H$38/(Nombre_d_adultes_dans_votre_ménage+Nombre_d_enfants_dans_votre_ménage)/'Données prix Bassins'!F$41)</f>
        <v>5.567294965864001</v>
      </c>
      <c r="I39" s="106">
        <f>(I$38/(Nombre_d_adultes_dans_votre_ménage+Nombre_d_enfants_dans_votre_ménage)/'Données prix Bassins'!G$41)</f>
        <v>4.684022206856731</v>
      </c>
      <c r="J39" s="107">
        <f>I39-C39</f>
        <v>1.9299209431468731</v>
      </c>
      <c r="K39" s="107">
        <f>I39-H39</f>
        <v>-0.8832727590072693</v>
      </c>
    </row>
    <row r="40" spans="2:11" ht="12.75">
      <c r="B40" s="103"/>
      <c r="C40" s="104"/>
      <c r="D40" s="104"/>
      <c r="E40" s="104"/>
      <c r="F40" s="104"/>
      <c r="G40" s="104"/>
      <c r="H40" s="104"/>
      <c r="I40" s="104"/>
      <c r="J40" s="105"/>
      <c r="K40" s="105"/>
    </row>
    <row r="41" spans="2:11" ht="12.75">
      <c r="B41" s="1" t="s">
        <v>202</v>
      </c>
      <c r="J41" s="70"/>
      <c r="K41" s="70"/>
    </row>
    <row r="42" spans="2:11" ht="12.75">
      <c r="B42" s="62" t="s">
        <v>217</v>
      </c>
      <c r="C42" s="63">
        <f>'Données prix Bassins'!B20*($C$8+$C$9)</f>
        <v>0</v>
      </c>
      <c r="D42" s="63">
        <f>'Données prix Bassins'!B20*($G$8*$G$9)</f>
        <v>0</v>
      </c>
      <c r="E42" s="63">
        <f>'Données prix Bassins'!C20*(Nombre_d_adultes_dans_votre_ménage+Nombre_d_enfants_dans_votre_ménage)</f>
        <v>9</v>
      </c>
      <c r="F42" s="63">
        <f>'Données prix Bassins'!D20*($C$8+$C$9)</f>
        <v>0</v>
      </c>
      <c r="G42" s="63">
        <f>'Données prix Bassins'!E20*($C$8+$C$9)</f>
        <v>0</v>
      </c>
      <c r="H42" s="63">
        <f>'Données prix Bassins'!F20*($C$8+$C$9)</f>
        <v>0</v>
      </c>
      <c r="I42" s="63">
        <f>'Données prix Bassins'!G20*($C$8+$C$9)</f>
        <v>0</v>
      </c>
      <c r="J42" s="70"/>
      <c r="K42" s="70"/>
    </row>
    <row r="43" spans="2:11" ht="12.75">
      <c r="B43" s="62" t="s">
        <v>132</v>
      </c>
      <c r="C43" s="129">
        <f>Consommation_annuelle_d_eau_potable_par_menage*'Données prix Bassins'!B16</f>
        <v>110</v>
      </c>
      <c r="D43" s="63"/>
      <c r="E43" s="63">
        <f>Consommation_annuelle_d_eau_potable_par_menage*'Données prix Bassins'!C16</f>
        <v>110</v>
      </c>
      <c r="F43" s="63">
        <f>Consommation_annuelle_d_eau_potable_par_menage*'Données prix Bassins'!D16</f>
        <v>110</v>
      </c>
      <c r="G43" s="63">
        <f>Consommation_annuelle_d_eau_potable_par_menage*'Données prix Bassins'!E16</f>
        <v>110</v>
      </c>
      <c r="H43" s="63">
        <f>Consommation_annuelle_d_eau_potable_par_menage*'Données prix Bassins'!F16</f>
        <v>110</v>
      </c>
      <c r="I43" s="63">
        <f>Consommation_annuelle_d_eau_potable_par_menage*'Données prix Bassins'!G16</f>
        <v>88</v>
      </c>
      <c r="J43" s="70"/>
      <c r="K43" s="70"/>
    </row>
    <row r="44" spans="2:11" ht="12.75">
      <c r="B44" s="62" t="s">
        <v>237</v>
      </c>
      <c r="C44" s="63">
        <f>'Données prix Bassins'!B21*Surface_habitable_SBPu</f>
        <v>0</v>
      </c>
      <c r="D44" s="63" t="e">
        <f>'Données prix Bassins'!B21*Surface_construite_au_sol_de_votre_habitation</f>
        <v>#NAME?</v>
      </c>
      <c r="E44" s="63">
        <f>'Données prix Bassins'!C21*Surface_habitable_SBPu</f>
        <v>0</v>
      </c>
      <c r="F44" s="63">
        <f>'Données prix Bassins'!D21*Surface_habitable_SBPu</f>
        <v>0</v>
      </c>
      <c r="G44" s="63">
        <f>'Données prix Bassins'!E21*Surface_habitable_SBPu</f>
        <v>0</v>
      </c>
      <c r="H44" s="63">
        <f>'Données prix Bassins'!F21*Surface_habitable_SBPu</f>
        <v>0</v>
      </c>
      <c r="I44" s="63">
        <f>'Données prix Bassins'!G21*Surface_habitable_SBPu</f>
        <v>75.9</v>
      </c>
      <c r="J44" s="70"/>
      <c r="K44" s="70"/>
    </row>
    <row r="45" spans="2:11" ht="12.75">
      <c r="B45" s="65" t="s">
        <v>133</v>
      </c>
      <c r="C45" s="63">
        <f>'Données prix Bassins'!B22*Surface_imperméabilisée_de_votre_habitation/Nbre_d_appartements_dans_votre_imeuble_maison</f>
        <v>0</v>
      </c>
      <c r="D45" s="63">
        <f>'Données prix Bassins'!B22*Surface_imperméabilisée_de_votre_habitation/Nbre_d_appartements_dans_votre_imeuble_maison</f>
        <v>0</v>
      </c>
      <c r="E45" s="63">
        <f>'Données prix Bassins'!C22*Surface_imperméabilisée_de_votre_habitation/Nbre_d_appartements_dans_votre_imeuble_maison</f>
        <v>0</v>
      </c>
      <c r="F45" s="63">
        <f>'Données prix Bassins'!D22*Surface_imperméabilisée_de_votre_habitation/Nbre_d_appartements_dans_votre_imeuble_maison</f>
        <v>0</v>
      </c>
      <c r="G45" s="63">
        <f>'Données prix Bassins'!E22*Surface_imperméabilisée_de_votre_habitation/Nbre_d_appartements_dans_votre_imeuble_maison</f>
        <v>0</v>
      </c>
      <c r="H45" s="63">
        <f>'Données prix Bassins'!F22*Surface_imperméabilisée_de_votre_habitation/Nbre_d_appartements_dans_votre_imeuble_maison</f>
        <v>0</v>
      </c>
      <c r="I45" s="63">
        <f>'Données prix Bassins'!G22*Surface_imperméabilisée_de_votre_habitation/Nbre_d_appartements_dans_votre_imeuble_maison</f>
        <v>48.8</v>
      </c>
      <c r="J45" s="70"/>
      <c r="K45" s="70"/>
    </row>
    <row r="46" spans="2:11" ht="12.75">
      <c r="B46" s="61" t="s">
        <v>190</v>
      </c>
      <c r="C46" s="64">
        <f>SUM(C42:C45)</f>
        <v>110</v>
      </c>
      <c r="D46" s="64" t="e">
        <f aca="true" t="shared" si="1" ref="D46:I46">SUM(D42:D45)</f>
        <v>#NAME?</v>
      </c>
      <c r="E46" s="64">
        <f t="shared" si="1"/>
        <v>119</v>
      </c>
      <c r="F46" s="64">
        <f t="shared" si="1"/>
        <v>110</v>
      </c>
      <c r="G46" s="64">
        <f t="shared" si="1"/>
        <v>110</v>
      </c>
      <c r="H46" s="64">
        <f t="shared" si="1"/>
        <v>110</v>
      </c>
      <c r="I46" s="64">
        <f t="shared" si="1"/>
        <v>212.7</v>
      </c>
      <c r="J46" s="76">
        <f>(I46-C46)/C46</f>
        <v>0.9336363636363635</v>
      </c>
      <c r="K46" s="76">
        <f>(I46-H46)/H46</f>
        <v>0.9336363636363635</v>
      </c>
    </row>
    <row r="47" spans="2:11" ht="12.75">
      <c r="B47" s="103" t="s">
        <v>235</v>
      </c>
      <c r="C47" s="106">
        <f>(C$46/(Nombre_d_adultes_dans_votre_ménage+Nombre_d_enfants_dans_votre_ménage)/'Données prix Bassins'!B$41)</f>
        <v>3.1393900415345533</v>
      </c>
      <c r="D47" s="106">
        <f>(D$38/(Nombre_d_adultes_dans_votre_ménage+Nombre_d_enfants_dans_votre_ménage)/'Données prix Bassins'!C$41)</f>
        <v>0</v>
      </c>
      <c r="E47" s="106">
        <f>(E$46/(Nombre_d_adultes_dans_votre_ménage+Nombre_d_enfants_dans_votre_ménage)/'Données prix Bassins'!C$41)</f>
        <v>3.249882480220032</v>
      </c>
      <c r="F47" s="106">
        <f>(F$46/(Nombre_d_adultes_dans_votre_ménage+Nombre_d_enfants_dans_votre_ménage)/'Données prix Bassins'!D$41)</f>
        <v>2.881437389356704</v>
      </c>
      <c r="G47" s="106">
        <f>(G$46/(Nombre_d_adultes_dans_votre_ménage+Nombre_d_enfants_dans_votre_ménage)/'Données prix Bassins'!E$41)</f>
        <v>2.944242530024231</v>
      </c>
      <c r="H47" s="106">
        <f>(H$46/(Nombre_d_adultes_dans_votre_ménage+Nombre_d_enfants_dans_votre_ménage)/'Données prix Bassins'!F$41)</f>
        <v>2.944242530024231</v>
      </c>
      <c r="I47" s="106">
        <f>(I$46/(Nombre_d_adultes_dans_votre_ménage+Nombre_d_enfants_dans_votre_ménage)/'Données prix Bassins'!G$41)</f>
        <v>5.693094419419582</v>
      </c>
      <c r="J47" s="107">
        <f>I47-C47</f>
        <v>2.553704377885029</v>
      </c>
      <c r="K47" s="107">
        <f>I47-H47</f>
        <v>2.748851889395351</v>
      </c>
    </row>
    <row r="48" spans="2:11" ht="12.75">
      <c r="B48" s="103"/>
      <c r="C48" s="104"/>
      <c r="D48" s="104"/>
      <c r="E48" s="104"/>
      <c r="F48" s="104"/>
      <c r="G48" s="104"/>
      <c r="H48" s="104"/>
      <c r="I48" s="104"/>
      <c r="J48" s="105"/>
      <c r="K48" s="105"/>
    </row>
    <row r="49" spans="2:11" ht="12.75">
      <c r="B49" s="1" t="s">
        <v>204</v>
      </c>
      <c r="J49" s="70"/>
      <c r="K49" s="70"/>
    </row>
    <row r="50" spans="2:11" ht="12.75">
      <c r="B50" s="65" t="s">
        <v>136</v>
      </c>
      <c r="C50" s="63">
        <f>Nombre_d_adultes_dans_votre_ménage*'Données prix Bassins'!B30+Nombre_d_enfants_dans_votre_ménage*'Données prix Bassins'!B31</f>
        <v>24</v>
      </c>
      <c r="D50" s="3"/>
      <c r="E50" s="63">
        <f>Nombre_d_adultes_dans_votre_ménage*'Données prix Bassins'!C30+Nombre_d_enfants_dans_votre_ménage*'Données prix Bassins'!C31</f>
        <v>86</v>
      </c>
      <c r="F50" s="63">
        <f>Nombre_d_adultes_dans_votre_ménage*'Données prix Bassins'!D30+Nombre_d_enfants_dans_votre_ménage*'Données prix Bassins'!D31</f>
        <v>80</v>
      </c>
      <c r="G50" s="63">
        <f>Nombre_d_adultes_dans_votre_ménage*'Données prix Bassins'!E30+Nombre_d_enfants_dans_votre_ménage*'Données prix Bassins'!E31</f>
        <v>80</v>
      </c>
      <c r="H50" s="63">
        <f>Nombre_d_adultes_dans_votre_ménage*'Données prix Bassins'!F30+Nombre_d_enfants_dans_votre_ménage*'Données prix Bassins'!F31</f>
        <v>80</v>
      </c>
      <c r="I50" s="63">
        <f>Nombre_d_adultes_dans_votre_ménage*'Données prix Bassins'!G30+Nombre_d_enfants_dans_votre_ménage*'Données prix Bassins'!G31</f>
        <v>80</v>
      </c>
      <c r="J50" s="70"/>
      <c r="K50" s="70"/>
    </row>
    <row r="51" spans="2:11" ht="12.75">
      <c r="B51" s="62" t="s">
        <v>137</v>
      </c>
      <c r="C51" s="63">
        <f>Quantité_d_ordures_ménagères*'Données prix Bassins'!B28</f>
        <v>178.5</v>
      </c>
      <c r="D51" s="3"/>
      <c r="E51" s="63">
        <f>Quantité_d_ordures_ménagères*'Données prix Bassins'!C28</f>
        <v>178.5</v>
      </c>
      <c r="F51" s="63">
        <f>Quantité_d_ordures_ménagères*'Données prix Bassins'!D28</f>
        <v>178.5</v>
      </c>
      <c r="G51" s="63">
        <f>Quantité_d_ordures_ménagères*'Données prix Bassins'!E28</f>
        <v>178.5</v>
      </c>
      <c r="H51" s="63">
        <f>Quantité_d_ordures_ménagères*'Données prix Bassins'!F28</f>
        <v>178.5</v>
      </c>
      <c r="I51" s="63">
        <f>Quantité_d_ordures_ménagères*'Données prix Bassins'!G28</f>
        <v>178.5</v>
      </c>
      <c r="J51" s="70"/>
      <c r="K51" s="70"/>
    </row>
    <row r="52" spans="2:11" ht="12.75">
      <c r="B52" s="62" t="s">
        <v>138</v>
      </c>
      <c r="C52" s="63">
        <f>Quantité_d_encombrants__inertes__bois__déchets_verts__ferraille*'Données prix Bassins'!B29</f>
        <v>0</v>
      </c>
      <c r="D52" s="3"/>
      <c r="E52" s="63">
        <f>Quantité_d_encombrants__inertes__bois__déchets_verts__ferraille*'Données prix Bassins'!C29</f>
        <v>0</v>
      </c>
      <c r="F52" s="63">
        <f>Quantité_d_encombrants__inertes__bois__déchets_verts__ferraille*'Données prix Bassins'!D29</f>
        <v>0</v>
      </c>
      <c r="G52" s="63">
        <f>Quantité_d_encombrants__inertes__bois__déchets_verts__ferraille*'Données prix Bassins'!E29</f>
        <v>0</v>
      </c>
      <c r="H52" s="63">
        <f>Quantité_d_encombrants__inertes__bois__déchets_verts__ferraille*'Données prix Bassins'!F29</f>
        <v>0</v>
      </c>
      <c r="I52" s="63">
        <f>Quantité_d_encombrants__inertes__bois__déchets_verts__ferraille*'Données prix Bassins'!G29</f>
        <v>0</v>
      </c>
      <c r="J52" s="70"/>
      <c r="K52" s="70"/>
    </row>
    <row r="53" spans="2:11" ht="12.75">
      <c r="B53" s="61" t="s">
        <v>190</v>
      </c>
      <c r="C53" s="64">
        <f>SUM(C50:C52)</f>
        <v>202.5</v>
      </c>
      <c r="D53" s="64">
        <f aca="true" t="shared" si="2" ref="D53:I53">SUM(D50:D52)</f>
        <v>0</v>
      </c>
      <c r="E53" s="64">
        <f t="shared" si="2"/>
        <v>264.5</v>
      </c>
      <c r="F53" s="64">
        <f t="shared" si="2"/>
        <v>258.5</v>
      </c>
      <c r="G53" s="64">
        <f t="shared" si="2"/>
        <v>258.5</v>
      </c>
      <c r="H53" s="64">
        <f t="shared" si="2"/>
        <v>258.5</v>
      </c>
      <c r="I53" s="64">
        <f t="shared" si="2"/>
        <v>258.5</v>
      </c>
      <c r="J53" s="76">
        <f>(I53-C53)/C53</f>
        <v>0.2765432098765432</v>
      </c>
      <c r="K53" s="76">
        <f>(I53-H53)/H53</f>
        <v>0</v>
      </c>
    </row>
    <row r="54" spans="2:11" ht="12.75">
      <c r="B54" s="103" t="s">
        <v>235</v>
      </c>
      <c r="C54" s="106">
        <f>(C$53/(Nombre_d_adultes_dans_votre_ménage+Nombre_d_enfants_dans_votre_ménage)/'Données prix Bassins'!B$41)</f>
        <v>5.779331667370428</v>
      </c>
      <c r="D54" s="106">
        <f>(D$38/(Nombre_d_adultes_dans_votre_ménage+Nombre_d_enfants_dans_votre_ménage)/'Données prix Bassins'!C$41)</f>
        <v>0</v>
      </c>
      <c r="E54" s="106">
        <f>(E$53/(Nombre_d_adultes_dans_votre_ménage+Nombre_d_enfants_dans_votre_ménage)/'Données prix Bassins'!C$41)</f>
        <v>7.223478285867214</v>
      </c>
      <c r="F54" s="106">
        <f>(F$53/(Nombre_d_adultes_dans_votre_ménage+Nombre_d_enfants_dans_votre_ménage)/'Données prix Bassins'!D$41)</f>
        <v>6.771377864988254</v>
      </c>
      <c r="G54" s="106">
        <f>(G$53/(Nombre_d_adultes_dans_votre_ménage+Nombre_d_enfants_dans_votre_ménage)/'Données prix Bassins'!E$41)</f>
        <v>6.918969945556944</v>
      </c>
      <c r="H54" s="106">
        <f>(H$53/(Nombre_d_adultes_dans_votre_ménage+Nombre_d_enfants_dans_votre_ménage)/'Données prix Bassins'!F$41)</f>
        <v>6.918969945556944</v>
      </c>
      <c r="I54" s="106">
        <f>(I$53/(Nombre_d_adultes_dans_votre_ménage+Nombre_d_enfants_dans_votre_ménage)/'Données prix Bassins'!G$41)</f>
        <v>6.918969945556944</v>
      </c>
      <c r="J54" s="107">
        <f>I54-C54</f>
        <v>1.1396382781865153</v>
      </c>
      <c r="K54" s="107">
        <f>I54-H54</f>
        <v>0</v>
      </c>
    </row>
    <row r="55" spans="2:11" ht="12.75">
      <c r="B55" s="103"/>
      <c r="C55" s="104"/>
      <c r="D55" s="104"/>
      <c r="E55" s="104"/>
      <c r="F55" s="104"/>
      <c r="G55" s="104"/>
      <c r="H55" s="104"/>
      <c r="I55" s="104"/>
      <c r="J55" s="105"/>
      <c r="K55" s="105"/>
    </row>
    <row r="56" spans="2:11" ht="12.75">
      <c r="B56" s="61" t="s">
        <v>139</v>
      </c>
      <c r="C56" s="64">
        <f>C38+C46+C53</f>
        <v>409</v>
      </c>
      <c r="D56" s="3"/>
      <c r="E56" s="64">
        <f>E38+E46+E53</f>
        <v>530</v>
      </c>
      <c r="F56" s="64">
        <f>F38+F46+F53</f>
        <v>604</v>
      </c>
      <c r="G56" s="64">
        <f>G38+G46+G53</f>
        <v>576.5</v>
      </c>
      <c r="H56" s="64">
        <f>H38+H46+H53</f>
        <v>576.5</v>
      </c>
      <c r="I56" s="64">
        <f>I38+I46+I53</f>
        <v>646.2</v>
      </c>
      <c r="J56" s="76">
        <f>(I56-C56)/C56</f>
        <v>0.5799511002444989</v>
      </c>
      <c r="K56" s="76">
        <f>(I56-H56)/H56</f>
        <v>0.12090199479618395</v>
      </c>
    </row>
    <row r="57" spans="2:11" ht="12.75">
      <c r="B57" s="103" t="s">
        <v>235</v>
      </c>
      <c r="C57" s="106">
        <f>(C$56/(Nombre_d_adultes_dans_votre_ménage+Nombre_d_enfants_dans_votre_ménage)/'Données prix Bassins'!B$41)</f>
        <v>11.67282297261484</v>
      </c>
      <c r="D57" s="106">
        <f>(D$38/(Nombre_d_adultes_dans_votre_ménage+Nombre_d_enfants_dans_votre_ménage)/'Données prix Bassins'!C$41)</f>
        <v>0</v>
      </c>
      <c r="E57" s="106">
        <f>(E$56/(Nombre_d_adultes_dans_votre_ménage+Nombre_d_enfants_dans_votre_ménage)/'Données prix Bassins'!C$41)</f>
        <v>14.474266508543</v>
      </c>
      <c r="F57" s="106">
        <f>(F$56/(Nombre_d_adultes_dans_votre_ménage+Nombre_d_enfants_dans_votre_ménage)/'Données prix Bassins'!D$41)</f>
        <v>15.821710756104082</v>
      </c>
      <c r="G57" s="106">
        <f>(G$56/(Nombre_d_adultes_dans_votre_ménage+Nombre_d_enfants_dans_votre_ménage)/'Données prix Bassins'!E$41)</f>
        <v>15.430507441445176</v>
      </c>
      <c r="H57" s="106">
        <f>(H$56/(Nombre_d_adultes_dans_votre_ménage+Nombre_d_enfants_dans_votre_ménage)/'Données prix Bassins'!F$41)</f>
        <v>15.430507441445176</v>
      </c>
      <c r="I57" s="106">
        <f>(I$56/(Nombre_d_adultes_dans_votre_ménage+Nombre_d_enfants_dans_votre_ménage)/'Données prix Bassins'!G$41)</f>
        <v>17.296086571833257</v>
      </c>
      <c r="J57" s="107">
        <f>I57-C57</f>
        <v>5.623263599218417</v>
      </c>
      <c r="K57" s="107">
        <f>I57-H57</f>
        <v>1.865579130388081</v>
      </c>
    </row>
    <row r="59" spans="2:10" ht="12.75" customHeight="1">
      <c r="B59" t="s">
        <v>156</v>
      </c>
      <c r="C59" s="58">
        <f>C38/Consommation_annuelle_d_eau_potable_par_menage</f>
        <v>1.7545454545454546</v>
      </c>
      <c r="D59" s="58">
        <f>D38/Consommation_annuelle_d_eau_potable</f>
        <v>0</v>
      </c>
      <c r="E59" s="58">
        <f>E38/Consommation_annuelle_d_eau_potable_par_menage</f>
        <v>2.6636363636363636</v>
      </c>
      <c r="F59" s="58">
        <f>F38/Consommation_annuelle_d_eau_potable_par_menage</f>
        <v>4.281818181818182</v>
      </c>
      <c r="G59" s="58">
        <f>G38/Consommation_annuelle_d_eau_potable_par_menage</f>
        <v>3.7818181818181817</v>
      </c>
      <c r="H59" s="58">
        <f>H38/Consommation_annuelle_d_eau_potable_par_menage</f>
        <v>3.7818181818181817</v>
      </c>
      <c r="I59" s="58">
        <f>I38/Consommation_annuelle_d_eau_potable_par_menage</f>
        <v>3.1818181818181817</v>
      </c>
      <c r="J59" s="76"/>
    </row>
    <row r="60" spans="3:10" ht="12.75">
      <c r="C60" s="58"/>
      <c r="D60" s="58"/>
      <c r="E60" s="58"/>
      <c r="F60" s="58"/>
      <c r="G60" s="58"/>
      <c r="H60" s="58"/>
      <c r="I60" s="58"/>
      <c r="J60" s="76"/>
    </row>
    <row r="61" spans="2:9" ht="12.75">
      <c r="B61" t="s">
        <v>155</v>
      </c>
      <c r="C61" s="58">
        <f>C46/Consommation_annuelle_d_eau_potable_par_menage</f>
        <v>2</v>
      </c>
      <c r="D61" s="58" t="e">
        <f>D46/(Consommation_annuelle_d_eau_potable-Sous_compteur)</f>
        <v>#NAME?</v>
      </c>
      <c r="E61" s="58">
        <f>E46/Consommation_annuelle_d_eau_potable_par_menage</f>
        <v>2.1636363636363636</v>
      </c>
      <c r="F61" s="58">
        <f>F46/Consommation_annuelle_d_eau_potable_par_menage</f>
        <v>2</v>
      </c>
      <c r="G61" s="58">
        <f>G46/Consommation_annuelle_d_eau_potable_par_menage</f>
        <v>2</v>
      </c>
      <c r="H61" s="58">
        <f>H46/Consommation_annuelle_d_eau_potable_par_menage</f>
        <v>2</v>
      </c>
      <c r="I61" s="58">
        <f>I46/Consommation_annuelle_d_eau_potable_par_menage</f>
        <v>3.867272727272727</v>
      </c>
    </row>
    <row r="62" spans="3:9" ht="12.75">
      <c r="C62" s="58"/>
      <c r="D62" s="58"/>
      <c r="E62" s="58"/>
      <c r="F62" s="58"/>
      <c r="G62" s="58"/>
      <c r="H62" s="58"/>
      <c r="I62" s="58"/>
    </row>
    <row r="63" spans="2:9" ht="12.75">
      <c r="B63" t="s">
        <v>157</v>
      </c>
      <c r="C63" s="58">
        <f aca="true" t="shared" si="3" ref="C63:I63">C53/Quantité_d_ordures_ménagères</f>
        <v>0.9642857142857143</v>
      </c>
      <c r="D63" s="58">
        <f t="shared" si="3"/>
        <v>0</v>
      </c>
      <c r="E63" s="58">
        <f t="shared" si="3"/>
        <v>1.2595238095238095</v>
      </c>
      <c r="F63" s="58">
        <f t="shared" si="3"/>
        <v>1.230952380952381</v>
      </c>
      <c r="G63" s="58">
        <f t="shared" si="3"/>
        <v>1.230952380952381</v>
      </c>
      <c r="H63" s="58">
        <f t="shared" si="3"/>
        <v>1.230952380952381</v>
      </c>
      <c r="I63" s="58">
        <f t="shared" si="3"/>
        <v>1.230952380952381</v>
      </c>
    </row>
    <row r="64" spans="2:9" ht="12.75">
      <c r="B64" t="s">
        <v>159</v>
      </c>
      <c r="C64" s="58">
        <f aca="true" t="shared" si="4" ref="C64:I64">C53/Nombre_de_sac_35l</f>
        <v>4.714908637873754</v>
      </c>
      <c r="D64" s="58">
        <f t="shared" si="4"/>
        <v>0</v>
      </c>
      <c r="E64" s="58">
        <f t="shared" si="4"/>
        <v>6.158485603543743</v>
      </c>
      <c r="F64" s="58">
        <f t="shared" si="4"/>
        <v>6.018784606866002</v>
      </c>
      <c r="G64" s="58">
        <f t="shared" si="4"/>
        <v>6.018784606866002</v>
      </c>
      <c r="H64" s="58">
        <f t="shared" si="4"/>
        <v>6.018784606866002</v>
      </c>
      <c r="I64" s="58">
        <f t="shared" si="4"/>
        <v>6.018784606866002</v>
      </c>
    </row>
    <row r="66" ht="12.75">
      <c r="I66" s="111"/>
    </row>
  </sheetData>
  <sheetProtection/>
  <mergeCells count="3">
    <mergeCell ref="B2:K2"/>
    <mergeCell ref="F5:H5"/>
    <mergeCell ref="C33:I33"/>
  </mergeCells>
  <hyperlinks>
    <hyperlink ref="I34" r:id="rId1" display="Projection 2020 selon préavis 13-19"/>
  </hyperlinks>
  <printOptions/>
  <pageMargins left="0.25" right="0.25" top="0.75" bottom="0.75" header="0.3" footer="0.3"/>
  <pageSetup fitToHeight="1" fitToWidth="1" horizontalDpi="600" verticalDpi="600" orientation="portrait" paperSize="9" scale="58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1" width="16.7109375" style="0" customWidth="1"/>
    <col min="2" max="2" width="18.7109375" style="0" customWidth="1"/>
    <col min="3" max="3" width="2.8515625" style="0" customWidth="1"/>
    <col min="4" max="6" width="9.7109375" style="0" customWidth="1"/>
    <col min="7" max="7" width="3.7109375" style="0" customWidth="1"/>
    <col min="8" max="10" width="9.7109375" style="0" customWidth="1"/>
    <col min="11" max="11" width="3.7109375" style="0" customWidth="1"/>
    <col min="12" max="14" width="9.7109375" style="0" customWidth="1"/>
    <col min="15" max="15" width="3.8515625" style="0" customWidth="1"/>
  </cols>
  <sheetData>
    <row r="2" spans="2:14" ht="33.75" customHeight="1">
      <c r="B2" s="139" t="s">
        <v>206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4" ht="15" customHeight="1" thickBot="1">
      <c r="B3" s="153" t="s">
        <v>207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33.75" customHeight="1" thickBot="1">
      <c r="A4" s="32"/>
      <c r="D4" s="154" t="s">
        <v>86</v>
      </c>
      <c r="E4" s="155"/>
      <c r="F4" s="156"/>
      <c r="H4" s="154" t="s">
        <v>88</v>
      </c>
      <c r="I4" s="155"/>
      <c r="J4" s="156"/>
      <c r="L4" s="154" t="s">
        <v>87</v>
      </c>
      <c r="M4" s="155"/>
      <c r="N4" s="156"/>
    </row>
    <row r="5" spans="4:14" ht="102.75" customHeight="1" thickBot="1">
      <c r="D5" s="33" t="s">
        <v>27</v>
      </c>
      <c r="E5" s="33" t="s">
        <v>28</v>
      </c>
      <c r="F5" s="33" t="s">
        <v>29</v>
      </c>
      <c r="H5" s="7" t="s">
        <v>27</v>
      </c>
      <c r="I5" s="7" t="s">
        <v>28</v>
      </c>
      <c r="J5" s="7" t="s">
        <v>29</v>
      </c>
      <c r="L5" s="7" t="s">
        <v>27</v>
      </c>
      <c r="M5" s="7" t="s">
        <v>28</v>
      </c>
      <c r="N5" s="7" t="s">
        <v>29</v>
      </c>
    </row>
    <row r="6" spans="2:14" ht="14.25" customHeight="1" thickBot="1">
      <c r="B6" s="24"/>
      <c r="C6" s="13"/>
      <c r="D6" s="150" t="s">
        <v>30</v>
      </c>
      <c r="E6" s="151"/>
      <c r="F6" s="152"/>
      <c r="H6" s="150" t="s">
        <v>71</v>
      </c>
      <c r="I6" s="151"/>
      <c r="J6" s="152"/>
      <c r="L6" s="150" t="s">
        <v>72</v>
      </c>
      <c r="M6" s="151"/>
      <c r="N6" s="152"/>
    </row>
    <row r="7" spans="2:15" ht="12.75">
      <c r="B7" s="28" t="s">
        <v>31</v>
      </c>
      <c r="C7" s="13"/>
      <c r="D7" s="25">
        <v>0.37</v>
      </c>
      <c r="E7" s="20">
        <v>0.38</v>
      </c>
      <c r="F7" s="21">
        <v>0.44</v>
      </c>
      <c r="G7" s="34"/>
      <c r="H7" s="25">
        <v>1.3</v>
      </c>
      <c r="I7" s="20">
        <v>0.7</v>
      </c>
      <c r="J7" s="21">
        <v>0.54</v>
      </c>
      <c r="K7" s="34"/>
      <c r="L7" s="25">
        <v>0.5</v>
      </c>
      <c r="M7" s="20">
        <v>0.31</v>
      </c>
      <c r="N7" s="21">
        <v>0.31</v>
      </c>
      <c r="O7" s="34"/>
    </row>
    <row r="8" spans="2:15" ht="12.75">
      <c r="B8" s="29" t="s">
        <v>32</v>
      </c>
      <c r="C8" s="13"/>
      <c r="D8" s="26">
        <v>1.46</v>
      </c>
      <c r="E8" s="9">
        <v>1.32</v>
      </c>
      <c r="F8" s="10">
        <v>1.52</v>
      </c>
      <c r="G8" s="34"/>
      <c r="H8" s="26">
        <v>2.44</v>
      </c>
      <c r="I8" s="9">
        <v>1.97</v>
      </c>
      <c r="J8" s="10">
        <v>1.86</v>
      </c>
      <c r="K8" s="34"/>
      <c r="L8" s="26">
        <v>1.53</v>
      </c>
      <c r="M8" s="9">
        <v>1.44</v>
      </c>
      <c r="N8" s="10">
        <v>1.57</v>
      </c>
      <c r="O8" s="34"/>
    </row>
    <row r="9" spans="2:15" ht="12.75">
      <c r="B9" s="29" t="s">
        <v>33</v>
      </c>
      <c r="C9" s="13"/>
      <c r="D9" s="26">
        <v>1.92</v>
      </c>
      <c r="E9" s="9">
        <v>1.92</v>
      </c>
      <c r="F9" s="10">
        <v>2.07</v>
      </c>
      <c r="G9" s="34"/>
      <c r="H9" s="26">
        <v>3.09</v>
      </c>
      <c r="I9" s="9">
        <v>2.28</v>
      </c>
      <c r="J9" s="10">
        <v>2.17</v>
      </c>
      <c r="K9" s="34"/>
      <c r="L9" s="26">
        <v>2.06</v>
      </c>
      <c r="M9" s="9">
        <v>1.9</v>
      </c>
      <c r="N9" s="10">
        <v>2.1</v>
      </c>
      <c r="O9" s="34"/>
    </row>
    <row r="10" spans="2:15" ht="12.75">
      <c r="B10" s="29" t="s">
        <v>34</v>
      </c>
      <c r="C10" s="13"/>
      <c r="D10" s="26">
        <v>2.32</v>
      </c>
      <c r="E10" s="9">
        <v>2.14</v>
      </c>
      <c r="F10" s="10">
        <v>2.52</v>
      </c>
      <c r="G10" s="34"/>
      <c r="H10" s="26">
        <v>3.72</v>
      </c>
      <c r="I10" s="9">
        <v>2.57</v>
      </c>
      <c r="J10" s="10">
        <v>2.5</v>
      </c>
      <c r="K10" s="34"/>
      <c r="L10" s="26">
        <v>2.57</v>
      </c>
      <c r="M10" s="9">
        <v>2.48</v>
      </c>
      <c r="N10" s="10">
        <v>2.7</v>
      </c>
      <c r="O10" s="34"/>
    </row>
    <row r="11" spans="2:15" ht="12.75">
      <c r="B11" s="29" t="s">
        <v>35</v>
      </c>
      <c r="C11" s="13"/>
      <c r="D11" s="26">
        <v>7.6</v>
      </c>
      <c r="E11" s="9">
        <v>4.21</v>
      </c>
      <c r="F11" s="10">
        <v>4.88</v>
      </c>
      <c r="G11" s="34"/>
      <c r="H11" s="26">
        <v>5.54</v>
      </c>
      <c r="I11" s="9">
        <v>3.91</v>
      </c>
      <c r="J11" s="10">
        <v>3.76</v>
      </c>
      <c r="K11" s="34"/>
      <c r="L11" s="26">
        <v>5.98</v>
      </c>
      <c r="M11" s="9">
        <v>4.89</v>
      </c>
      <c r="N11" s="10">
        <v>5.42</v>
      </c>
      <c r="O11" s="34"/>
    </row>
    <row r="12" spans="2:15" ht="13.5" thickBot="1">
      <c r="B12" s="30" t="s">
        <v>36</v>
      </c>
      <c r="C12" s="13"/>
      <c r="D12" s="27">
        <v>2.03</v>
      </c>
      <c r="E12" s="11">
        <v>1.76</v>
      </c>
      <c r="F12" s="12">
        <v>2.07</v>
      </c>
      <c r="G12" s="34"/>
      <c r="H12" s="27">
        <v>3.1</v>
      </c>
      <c r="I12" s="11">
        <v>2.31</v>
      </c>
      <c r="J12" s="12">
        <v>2.21</v>
      </c>
      <c r="K12" s="34"/>
      <c r="L12" s="27">
        <v>2.18</v>
      </c>
      <c r="M12" s="11">
        <v>1.97</v>
      </c>
      <c r="N12" s="12">
        <v>2.16</v>
      </c>
      <c r="O12" s="34"/>
    </row>
    <row r="13" spans="2:15" ht="12.75">
      <c r="B13" s="13"/>
      <c r="C13" s="13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5"/>
      <c r="O13" s="34"/>
    </row>
    <row r="14" spans="2:15" ht="12.75">
      <c r="B14" s="81" t="s">
        <v>162</v>
      </c>
      <c r="C14" s="17"/>
      <c r="D14" s="82">
        <f>'Calculs taxes annuelles P'!C58</f>
        <v>1.9142857142857144</v>
      </c>
      <c r="E14" s="82">
        <f>'Calculs taxes annuelles P'!C58</f>
        <v>1.9142857142857144</v>
      </c>
      <c r="F14" s="82">
        <f>'Calculs taxes annuelles P'!C58</f>
        <v>1.9142857142857144</v>
      </c>
      <c r="G14" s="38"/>
      <c r="H14" s="83">
        <f>'Calculs taxes annuelles P'!$C$63</f>
        <v>4.481686046511628</v>
      </c>
      <c r="I14" s="83">
        <f>'Calculs taxes annuelles P'!$C$63</f>
        <v>4.481686046511628</v>
      </c>
      <c r="J14" s="83">
        <f>'Calculs taxes annuelles P'!$C$63</f>
        <v>4.481686046511628</v>
      </c>
      <c r="K14" s="38"/>
      <c r="L14" s="83">
        <f>'Calculs taxes annuelles P'!$C$60</f>
        <v>2</v>
      </c>
      <c r="M14" s="83">
        <f>'Calculs taxes annuelles P'!$C$60</f>
        <v>2</v>
      </c>
      <c r="N14" s="83">
        <f>'Calculs taxes annuelles P'!$C$60</f>
        <v>2</v>
      </c>
      <c r="O14" s="34"/>
    </row>
    <row r="15" spans="2:15" ht="12.75">
      <c r="B15" s="81" t="s">
        <v>184</v>
      </c>
      <c r="C15" s="81"/>
      <c r="D15" s="82">
        <f>'Calculs taxes annuelles P'!E58</f>
        <v>2.425396825396825</v>
      </c>
      <c r="E15" s="82">
        <f>'Calculs taxes annuelles P'!E58</f>
        <v>2.425396825396825</v>
      </c>
      <c r="F15" s="82">
        <f>'Calculs taxes annuelles P'!E58</f>
        <v>2.425396825396825</v>
      </c>
      <c r="G15" s="38"/>
      <c r="H15" s="83">
        <f>'Calculs taxes annuelles P'!$E$63</f>
        <v>5.318895348837209</v>
      </c>
      <c r="I15" s="83">
        <f>'Calculs taxes annuelles P'!$E$63</f>
        <v>5.318895348837209</v>
      </c>
      <c r="J15" s="83">
        <f>'Calculs taxes annuelles P'!$E$63</f>
        <v>5.318895348837209</v>
      </c>
      <c r="K15" s="38"/>
      <c r="L15" s="83">
        <f>'Calculs taxes annuelles P'!$E$60</f>
        <v>2.1714285714285713</v>
      </c>
      <c r="M15" s="83">
        <f>'Calculs taxes annuelles P'!$E$60</f>
        <v>2.1714285714285713</v>
      </c>
      <c r="N15" s="83">
        <f>'Calculs taxes annuelles P'!$E$60</f>
        <v>2.1714285714285713</v>
      </c>
      <c r="O15" s="34"/>
    </row>
    <row r="16" spans="2:15" ht="12.75">
      <c r="B16" s="81" t="s">
        <v>185</v>
      </c>
      <c r="C16" s="81"/>
      <c r="D16" s="82">
        <f>'Calculs taxes annuelles P'!F58</f>
        <v>3.2476190476190476</v>
      </c>
      <c r="E16" s="82">
        <f>'Calculs taxes annuelles P'!F58</f>
        <v>3.2476190476190476</v>
      </c>
      <c r="F16" s="82">
        <f>'Calculs taxes annuelles P'!F58</f>
        <v>3.2476190476190476</v>
      </c>
      <c r="G16" s="38"/>
      <c r="H16" s="83">
        <f>'Calculs taxes annuelles P'!$F$63</f>
        <v>5.2375</v>
      </c>
      <c r="I16" s="83">
        <f>'Calculs taxes annuelles P'!$F$63</f>
        <v>5.2375</v>
      </c>
      <c r="J16" s="83">
        <f>'Calculs taxes annuelles P'!$F$63</f>
        <v>5.2375</v>
      </c>
      <c r="K16" s="38"/>
      <c r="L16" s="83">
        <f>'Calculs taxes annuelles P'!$F$60</f>
        <v>2</v>
      </c>
      <c r="M16" s="83">
        <f>'Calculs taxes annuelles P'!$F$60</f>
        <v>2</v>
      </c>
      <c r="N16" s="83">
        <f>'Calculs taxes annuelles P'!$F$60</f>
        <v>2</v>
      </c>
      <c r="O16" s="34"/>
    </row>
    <row r="17" spans="2:15" ht="12.75">
      <c r="B17" s="81" t="s">
        <v>186</v>
      </c>
      <c r="C17" s="81"/>
      <c r="D17" s="82">
        <f>'Calculs taxes annuelles P'!G58</f>
        <v>2.7476190476190476</v>
      </c>
      <c r="E17" s="82">
        <f>'Calculs taxes annuelles P'!G58</f>
        <v>2.7476190476190476</v>
      </c>
      <c r="F17" s="82">
        <f>'Calculs taxes annuelles P'!G58</f>
        <v>2.7476190476190476</v>
      </c>
      <c r="G17" s="38"/>
      <c r="H17" s="83">
        <f>'Calculs taxes annuelles P'!$G$63</f>
        <v>5.2375</v>
      </c>
      <c r="I17" s="83">
        <f>'Calculs taxes annuelles P'!$G$63</f>
        <v>5.2375</v>
      </c>
      <c r="J17" s="83">
        <f>'Calculs taxes annuelles P'!$G$63</f>
        <v>5.2375</v>
      </c>
      <c r="K17" s="38"/>
      <c r="L17" s="83">
        <f>'Calculs taxes annuelles P'!$G$60</f>
        <v>2</v>
      </c>
      <c r="M17" s="83">
        <f>'Calculs taxes annuelles P'!$G$60</f>
        <v>2</v>
      </c>
      <c r="N17" s="83">
        <f>'Calculs taxes annuelles P'!$G$60</f>
        <v>2</v>
      </c>
      <c r="O17" s="34"/>
    </row>
    <row r="18" spans="2:15" ht="12.75">
      <c r="B18" s="14" t="s">
        <v>164</v>
      </c>
      <c r="C18" s="15"/>
      <c r="D18" s="40">
        <f>'Calculs taxes annuelles P'!H58</f>
        <v>2.7476190476190476</v>
      </c>
      <c r="E18" s="40">
        <f>'Calculs taxes annuelles P'!H58</f>
        <v>2.7476190476190476</v>
      </c>
      <c r="F18" s="40">
        <f>'Calculs taxes annuelles P'!H58</f>
        <v>2.7476190476190476</v>
      </c>
      <c r="G18" s="38"/>
      <c r="H18" s="83">
        <f>'Calculs taxes annuelles P'!$H$63</f>
        <v>5.2375</v>
      </c>
      <c r="I18" s="83">
        <f>'Calculs taxes annuelles P'!$H$63</f>
        <v>5.2375</v>
      </c>
      <c r="J18" s="83">
        <f>'Calculs taxes annuelles P'!$H$63</f>
        <v>5.2375</v>
      </c>
      <c r="K18" s="38"/>
      <c r="L18" s="83">
        <f>'Calculs taxes annuelles P'!$H$60</f>
        <v>2</v>
      </c>
      <c r="M18" s="83">
        <f>'Calculs taxes annuelles P'!$H$60</f>
        <v>2</v>
      </c>
      <c r="N18" s="83">
        <f>'Calculs taxes annuelles P'!$H$60</f>
        <v>2</v>
      </c>
      <c r="O18" s="34"/>
    </row>
    <row r="19" spans="2:15" ht="12.75">
      <c r="B19" s="14" t="s">
        <v>163</v>
      </c>
      <c r="C19" s="15"/>
      <c r="D19" s="82">
        <f>'Calculs taxes annuelles P'!I58</f>
        <v>2.1476190476190475</v>
      </c>
      <c r="E19" s="82">
        <f>'Calculs taxes annuelles P'!I58</f>
        <v>2.1476190476190475</v>
      </c>
      <c r="F19" s="82">
        <f>'Calculs taxes annuelles P'!I58</f>
        <v>2.1476190476190475</v>
      </c>
      <c r="G19" s="38"/>
      <c r="H19" s="83">
        <f>'Calculs taxes annuelles P'!$I$63</f>
        <v>5.2375</v>
      </c>
      <c r="I19" s="83">
        <f>'Calculs taxes annuelles P'!$I$63</f>
        <v>5.2375</v>
      </c>
      <c r="J19" s="83">
        <f>'Calculs taxes annuelles P'!$I$63</f>
        <v>5.2375</v>
      </c>
      <c r="K19" s="38"/>
      <c r="L19" s="83">
        <f>'Calculs taxes annuelles P'!$I$60</f>
        <v>3.4419047619047616</v>
      </c>
      <c r="M19" s="83">
        <f>'Calculs taxes annuelles P'!$I$60</f>
        <v>3.4419047619047616</v>
      </c>
      <c r="N19" s="83">
        <f>'Calculs taxes annuelles P'!$I$60</f>
        <v>3.4419047619047616</v>
      </c>
      <c r="O19" s="34"/>
    </row>
    <row r="20" spans="2:15" ht="12.75">
      <c r="B20" s="15"/>
      <c r="C20" s="15"/>
      <c r="D20" s="82"/>
      <c r="E20" s="82"/>
      <c r="F20" s="82"/>
      <c r="G20" s="38"/>
      <c r="H20" s="83"/>
      <c r="I20" s="83"/>
      <c r="J20" s="83"/>
      <c r="K20" s="38"/>
      <c r="L20" s="83"/>
      <c r="M20" s="83"/>
      <c r="N20" s="83"/>
      <c r="O20" s="34"/>
    </row>
    <row r="21" spans="2:15" ht="12.75">
      <c r="B21" s="14" t="s">
        <v>196</v>
      </c>
      <c r="C21" s="15"/>
      <c r="D21" s="82">
        <f>'Données prix Bassins'!B$53</f>
        <v>1.7545454545454546</v>
      </c>
      <c r="E21" s="82">
        <f>'Données prix Bassins'!B$80</f>
        <v>1.7580645161290323</v>
      </c>
      <c r="F21" s="82">
        <f>'Données prix Bassins'!B$107</f>
        <v>1.9142857142857144</v>
      </c>
      <c r="G21" s="38"/>
      <c r="H21" s="83">
        <f>'Données prix Bassins'!B$69</f>
        <v>4.709302325581396</v>
      </c>
      <c r="I21" s="83">
        <f>'Données prix Bassins'!B$96</f>
        <v>4.560852713178295</v>
      </c>
      <c r="J21" s="83">
        <f>'Données prix Bassins'!B$123</f>
        <v>4.481686046511628</v>
      </c>
      <c r="K21" s="38"/>
      <c r="L21" s="83">
        <f>'Données prix Bassins'!B$61</f>
        <v>2</v>
      </c>
      <c r="M21" s="83">
        <f>'Données prix Bassins'!B$88</f>
        <v>2</v>
      </c>
      <c r="N21" s="83">
        <f>'Données prix Bassins'!B$115</f>
        <v>2</v>
      </c>
      <c r="O21" s="34"/>
    </row>
    <row r="22" spans="2:15" ht="12.75">
      <c r="B22" s="14" t="s">
        <v>197</v>
      </c>
      <c r="C22" s="15"/>
      <c r="D22" s="82">
        <f>'Données prix Bassins'!C$53</f>
        <v>2.6636363636363636</v>
      </c>
      <c r="E22" s="82">
        <f>'Données prix Bassins'!C$80</f>
        <v>2.3344086021505377</v>
      </c>
      <c r="F22" s="82">
        <f>'Données prix Bassins'!C$107</f>
        <v>2.425396825396825</v>
      </c>
      <c r="G22" s="38"/>
      <c r="H22" s="83">
        <f>'Données prix Bassins'!C$69</f>
        <v>6.151162790697675</v>
      </c>
      <c r="I22" s="83">
        <f>'Données prix Bassins'!C$96</f>
        <v>5.5996124031007755</v>
      </c>
      <c r="J22" s="83">
        <f>'Données prix Bassins'!C$123</f>
        <v>5.318895348837209</v>
      </c>
      <c r="K22" s="38"/>
      <c r="L22" s="83">
        <f>'Données prix Bassins'!C$61</f>
        <v>2.1636363636363636</v>
      </c>
      <c r="M22" s="83">
        <f>'Données prix Bassins'!C$88</f>
        <v>2.174193548387097</v>
      </c>
      <c r="N22" s="83">
        <f>'Données prix Bassins'!C$115</f>
        <v>2.1714285714285713</v>
      </c>
      <c r="O22" s="34"/>
    </row>
    <row r="23" spans="2:15" ht="12.75">
      <c r="B23" s="14" t="s">
        <v>198</v>
      </c>
      <c r="C23" s="15"/>
      <c r="D23" s="82">
        <f>'Données prix Bassins'!D$53</f>
        <v>4.281818181818182</v>
      </c>
      <c r="E23" s="82">
        <f>'Données prix Bassins'!D$80</f>
        <v>3.2870967741935484</v>
      </c>
      <c r="F23" s="82">
        <f>'Données prix Bassins'!D$107</f>
        <v>3.2476190476190476</v>
      </c>
      <c r="G23" s="38"/>
      <c r="H23" s="83">
        <f>'Données prix Bassins'!D$69</f>
        <v>6.011627906976744</v>
      </c>
      <c r="I23" s="83">
        <f>'Données prix Bassins'!D$96</f>
        <v>5.498837209302326</v>
      </c>
      <c r="J23" s="83">
        <f>'Données prix Bassins'!D$123</f>
        <v>5.2375</v>
      </c>
      <c r="K23" s="38"/>
      <c r="L23" s="83">
        <f>'Données prix Bassins'!D$61</f>
        <v>2</v>
      </c>
      <c r="M23" s="83">
        <f>'Données prix Bassins'!D$88</f>
        <v>2</v>
      </c>
      <c r="N23" s="83">
        <f>'Données prix Bassins'!D$115</f>
        <v>2</v>
      </c>
      <c r="O23" s="34"/>
    </row>
    <row r="24" spans="2:15" ht="12.75">
      <c r="B24" s="14" t="s">
        <v>199</v>
      </c>
      <c r="C24" s="15"/>
      <c r="D24" s="82">
        <f>'Données prix Bassins'!E$53</f>
        <v>3.7818181818181817</v>
      </c>
      <c r="E24" s="82">
        <f>'Données prix Bassins'!E$80</f>
        <v>2.7870967741935484</v>
      </c>
      <c r="F24" s="82">
        <f>'Données prix Bassins'!E$107</f>
        <v>2.7476190476190476</v>
      </c>
      <c r="G24" s="38"/>
      <c r="H24" s="83">
        <f>'Données prix Bassins'!E$69</f>
        <v>6.011627906976744</v>
      </c>
      <c r="I24" s="83">
        <f>'Données prix Bassins'!E$96</f>
        <v>5.498837209302326</v>
      </c>
      <c r="J24" s="83">
        <f>'Données prix Bassins'!E$123</f>
        <v>5.2375</v>
      </c>
      <c r="K24" s="38"/>
      <c r="L24" s="83">
        <f>'Données prix Bassins'!E$61</f>
        <v>2</v>
      </c>
      <c r="M24" s="83">
        <f>'Données prix Bassins'!E$88</f>
        <v>2</v>
      </c>
      <c r="N24" s="83">
        <f>'Données prix Bassins'!E$115</f>
        <v>2</v>
      </c>
      <c r="O24" s="34"/>
    </row>
    <row r="25" spans="2:15" ht="12.75">
      <c r="B25" s="14" t="s">
        <v>200</v>
      </c>
      <c r="C25" s="15"/>
      <c r="D25" s="82">
        <f>'Données prix Bassins'!F$53</f>
        <v>3.7818181818181817</v>
      </c>
      <c r="E25" s="82">
        <f>'Données prix Bassins'!F$80</f>
        <v>2.7870967741935484</v>
      </c>
      <c r="F25" s="82">
        <f>'Données prix Bassins'!F$107</f>
        <v>2.7476190476190476</v>
      </c>
      <c r="G25" s="38"/>
      <c r="H25" s="83">
        <f>'Données prix Bassins'!F$69</f>
        <v>6.011627906976744</v>
      </c>
      <c r="I25" s="83">
        <f>'Données prix Bassins'!F$96</f>
        <v>5.498837209302326</v>
      </c>
      <c r="J25" s="83">
        <f>'Données prix Bassins'!F$123</f>
        <v>5.2375</v>
      </c>
      <c r="K25" s="38"/>
      <c r="L25" s="83">
        <f>'Données prix Bassins'!F$61</f>
        <v>2</v>
      </c>
      <c r="M25" s="83">
        <f>'Données prix Bassins'!F$88</f>
        <v>2</v>
      </c>
      <c r="N25" s="83">
        <f>'Données prix Bassins'!F$115</f>
        <v>2</v>
      </c>
      <c r="O25" s="34"/>
    </row>
    <row r="26" spans="2:14" ht="14.25" customHeight="1">
      <c r="B26" s="14" t="s">
        <v>201</v>
      </c>
      <c r="C26" s="15"/>
      <c r="D26" s="82">
        <f>'Données prix Bassins'!G$53</f>
        <v>3.1818181818181817</v>
      </c>
      <c r="E26" s="82">
        <f>'Données prix Bassins'!G$80</f>
        <v>2.1870967741935483</v>
      </c>
      <c r="F26" s="82">
        <f>'Données prix Bassins'!G$107</f>
        <v>2.1476190476190475</v>
      </c>
      <c r="G26" s="38"/>
      <c r="H26" s="83">
        <f>'Données prix Bassins'!G$69</f>
        <v>6.011627906976744</v>
      </c>
      <c r="I26" s="83">
        <f>'Données prix Bassins'!G$96</f>
        <v>5.498837209302326</v>
      </c>
      <c r="J26" s="83">
        <f>'Données prix Bassins'!G$123</f>
        <v>5.2375</v>
      </c>
      <c r="K26" s="38"/>
      <c r="L26" s="83">
        <f>'Données prix Bassins'!G$61</f>
        <v>3.867272727272727</v>
      </c>
      <c r="M26" s="83">
        <f>'Données prix Bassins'!G$88</f>
        <v>2.9516129032258065</v>
      </c>
      <c r="N26" s="83">
        <f>'Données prix Bassins'!G$115</f>
        <v>3.4419047619047616</v>
      </c>
    </row>
    <row r="27" spans="2:14" ht="12.75">
      <c r="B27" s="23"/>
      <c r="C27" s="23"/>
      <c r="D27" s="18"/>
      <c r="E27" s="18"/>
      <c r="F27" s="18"/>
      <c r="G27" s="22"/>
      <c r="H27" s="18"/>
      <c r="I27" s="18"/>
      <c r="J27" s="18"/>
      <c r="K27" s="22"/>
      <c r="L27" s="18"/>
      <c r="M27" s="18"/>
      <c r="N27" s="18"/>
    </row>
    <row r="28" spans="2:14" ht="12.75">
      <c r="B28" s="23"/>
      <c r="C28" s="23"/>
      <c r="D28" s="18"/>
      <c r="E28" s="18"/>
      <c r="F28" s="18"/>
      <c r="G28" s="22"/>
      <c r="H28" s="18"/>
      <c r="I28" s="18"/>
      <c r="J28" s="18"/>
      <c r="K28" s="22"/>
      <c r="L28" s="18"/>
      <c r="M28" s="18"/>
      <c r="N28" s="18"/>
    </row>
    <row r="29" spans="2:14" ht="12.75">
      <c r="B29" s="84" t="s">
        <v>59</v>
      </c>
      <c r="C29" s="16"/>
      <c r="D29" s="85">
        <v>1.74</v>
      </c>
      <c r="E29" s="85">
        <v>1.16</v>
      </c>
      <c r="F29" s="85">
        <v>1.18</v>
      </c>
      <c r="G29" s="38"/>
      <c r="H29" s="86">
        <v>4.02</v>
      </c>
      <c r="I29" s="86">
        <v>2.58</v>
      </c>
      <c r="J29" s="86">
        <v>2.4</v>
      </c>
      <c r="K29" s="38"/>
      <c r="L29" s="86">
        <v>1</v>
      </c>
      <c r="M29" s="86">
        <v>1</v>
      </c>
      <c r="N29" s="86">
        <v>1</v>
      </c>
    </row>
    <row r="30" spans="2:14" ht="12.75">
      <c r="B30" s="84" t="s">
        <v>65</v>
      </c>
      <c r="C30" s="16"/>
      <c r="D30" s="85">
        <v>2.3</v>
      </c>
      <c r="E30" s="85">
        <v>2.31</v>
      </c>
      <c r="F30" s="85">
        <v>2.73</v>
      </c>
      <c r="G30" s="38"/>
      <c r="H30" s="86">
        <v>3.25</v>
      </c>
      <c r="I30" s="86">
        <v>2.54</v>
      </c>
      <c r="J30" s="86">
        <v>2.68</v>
      </c>
      <c r="K30" s="38"/>
      <c r="L30" s="87">
        <v>2.26</v>
      </c>
      <c r="M30" s="87">
        <v>2.2</v>
      </c>
      <c r="N30" s="87">
        <v>2.86</v>
      </c>
    </row>
    <row r="31" spans="2:14" ht="12.75">
      <c r="B31" s="84" t="s">
        <v>66</v>
      </c>
      <c r="C31" s="16"/>
      <c r="D31" s="85">
        <v>2.13</v>
      </c>
      <c r="E31" s="85">
        <v>2.14</v>
      </c>
      <c r="F31" s="85">
        <v>2.51</v>
      </c>
      <c r="G31" s="38"/>
      <c r="H31" s="22"/>
      <c r="I31" s="22"/>
      <c r="J31" s="22"/>
      <c r="K31" s="38"/>
      <c r="L31" s="87">
        <v>2.31</v>
      </c>
      <c r="M31" s="87">
        <v>2.49</v>
      </c>
      <c r="N31" s="87">
        <v>2.84</v>
      </c>
    </row>
    <row r="32" spans="2:14" ht="12.75">
      <c r="B32" s="84" t="s">
        <v>82</v>
      </c>
      <c r="C32" s="16"/>
      <c r="D32" s="87">
        <v>1.45</v>
      </c>
      <c r="E32" s="87">
        <v>1.43</v>
      </c>
      <c r="F32" s="87">
        <v>1.62</v>
      </c>
      <c r="G32" s="14"/>
      <c r="H32" s="87">
        <v>3.64</v>
      </c>
      <c r="I32" s="87">
        <v>3.21</v>
      </c>
      <c r="J32" s="87">
        <v>2.99</v>
      </c>
      <c r="K32" s="14"/>
      <c r="L32" s="87">
        <v>1.71</v>
      </c>
      <c r="M32" s="87">
        <v>1.7</v>
      </c>
      <c r="N32" s="87">
        <v>1.89</v>
      </c>
    </row>
    <row r="33" spans="2:14" ht="12.75">
      <c r="B33" s="88" t="s">
        <v>75</v>
      </c>
      <c r="C33" s="23"/>
      <c r="D33" s="86">
        <v>2.4</v>
      </c>
      <c r="E33" s="86">
        <v>2.14</v>
      </c>
      <c r="F33" s="86">
        <v>2.52</v>
      </c>
      <c r="G33" s="22"/>
      <c r="H33" s="86">
        <v>3.54</v>
      </c>
      <c r="I33" s="86">
        <v>3.05</v>
      </c>
      <c r="J33" s="86">
        <v>2.8</v>
      </c>
      <c r="K33" s="22"/>
      <c r="L33" s="86">
        <v>1.1</v>
      </c>
      <c r="M33" s="86">
        <v>1.1</v>
      </c>
      <c r="N33" s="86">
        <v>1.1</v>
      </c>
    </row>
    <row r="34" spans="2:14" ht="12.75">
      <c r="B34" s="89" t="s">
        <v>79</v>
      </c>
      <c r="C34" s="16"/>
      <c r="D34" s="86">
        <v>1.8</v>
      </c>
      <c r="E34" s="86">
        <v>1.16</v>
      </c>
      <c r="F34" s="86">
        <v>1.44</v>
      </c>
      <c r="G34" s="22"/>
      <c r="H34" s="86">
        <v>3.76</v>
      </c>
      <c r="I34" s="86">
        <v>3.12</v>
      </c>
      <c r="J34" s="86">
        <v>2.79</v>
      </c>
      <c r="K34" s="22"/>
      <c r="L34" s="86">
        <v>1.6</v>
      </c>
      <c r="M34" s="86">
        <v>1.6</v>
      </c>
      <c r="N34" s="86">
        <v>1.6</v>
      </c>
    </row>
    <row r="35" spans="2:14" ht="12.75">
      <c r="B35" s="84" t="s">
        <v>64</v>
      </c>
      <c r="C35" s="16"/>
      <c r="D35" s="85">
        <v>2.13</v>
      </c>
      <c r="E35" s="85">
        <v>2.14</v>
      </c>
      <c r="F35" s="85">
        <v>2.51</v>
      </c>
      <c r="G35" s="38"/>
      <c r="H35" s="22"/>
      <c r="I35" s="22"/>
      <c r="J35" s="22"/>
      <c r="K35" s="38"/>
      <c r="L35" s="87">
        <v>2.31</v>
      </c>
      <c r="M35" s="87">
        <v>2.49</v>
      </c>
      <c r="N35" s="87">
        <v>2.84</v>
      </c>
    </row>
    <row r="36" spans="2:14" ht="12.75">
      <c r="B36" s="84" t="s">
        <v>57</v>
      </c>
      <c r="C36" s="23"/>
      <c r="D36" s="85">
        <v>1.24</v>
      </c>
      <c r="E36" s="85">
        <v>1.23</v>
      </c>
      <c r="F36" s="85">
        <v>1.32</v>
      </c>
      <c r="G36" s="38"/>
      <c r="H36" s="86">
        <v>3.45</v>
      </c>
      <c r="I36" s="86">
        <v>2.95</v>
      </c>
      <c r="J36" s="86">
        <v>2.69</v>
      </c>
      <c r="K36" s="38"/>
      <c r="L36" s="86">
        <v>1.2</v>
      </c>
      <c r="M36" s="86">
        <v>1.2</v>
      </c>
      <c r="N36" s="86">
        <v>1.2</v>
      </c>
    </row>
    <row r="37" spans="2:14" ht="12.75">
      <c r="B37" s="84" t="s">
        <v>58</v>
      </c>
      <c r="C37" s="16"/>
      <c r="D37" s="85">
        <v>2.33</v>
      </c>
      <c r="E37" s="85">
        <v>2.26</v>
      </c>
      <c r="F37" s="85">
        <v>3.18</v>
      </c>
      <c r="G37" s="38"/>
      <c r="H37" s="86">
        <v>3.37</v>
      </c>
      <c r="I37" s="86">
        <v>2.82</v>
      </c>
      <c r="J37" s="86">
        <v>3</v>
      </c>
      <c r="K37" s="38"/>
      <c r="L37" s="86">
        <v>1.2</v>
      </c>
      <c r="M37" s="86">
        <v>1.2</v>
      </c>
      <c r="N37" s="86">
        <v>1</v>
      </c>
    </row>
    <row r="38" spans="2:14" ht="12.75">
      <c r="B38" s="88" t="s">
        <v>74</v>
      </c>
      <c r="C38" s="16"/>
      <c r="D38" s="86">
        <v>3.28</v>
      </c>
      <c r="E38" s="86">
        <v>3.22</v>
      </c>
      <c r="F38" s="86">
        <v>4.57</v>
      </c>
      <c r="G38" s="22"/>
      <c r="H38" s="86">
        <v>3.7</v>
      </c>
      <c r="I38" s="86">
        <v>3.35</v>
      </c>
      <c r="J38" s="86">
        <v>3.18</v>
      </c>
      <c r="K38" s="22"/>
      <c r="L38" s="86">
        <v>2.63</v>
      </c>
      <c r="M38" s="86">
        <v>2.63</v>
      </c>
      <c r="N38" s="86">
        <v>2.63</v>
      </c>
    </row>
    <row r="39" spans="2:14" ht="12.75">
      <c r="B39" s="84" t="s">
        <v>68</v>
      </c>
      <c r="C39" s="16"/>
      <c r="D39" s="85">
        <v>1.97</v>
      </c>
      <c r="E39" s="85">
        <v>1.36</v>
      </c>
      <c r="F39" s="85">
        <v>1.55</v>
      </c>
      <c r="G39" s="38"/>
      <c r="H39" s="86">
        <v>2.78</v>
      </c>
      <c r="I39" s="86">
        <v>1.49</v>
      </c>
      <c r="J39" s="86">
        <v>1.12</v>
      </c>
      <c r="K39" s="38"/>
      <c r="L39" s="87">
        <v>0.85</v>
      </c>
      <c r="M39" s="87">
        <v>0.85</v>
      </c>
      <c r="N39" s="87">
        <v>0.85</v>
      </c>
    </row>
    <row r="40" spans="2:14" ht="12.75">
      <c r="B40" s="84" t="s">
        <v>69</v>
      </c>
      <c r="C40" s="16"/>
      <c r="D40" s="85">
        <v>1.6</v>
      </c>
      <c r="E40" s="85">
        <v>1.5</v>
      </c>
      <c r="F40" s="85">
        <v>2.3</v>
      </c>
      <c r="G40" s="38"/>
      <c r="H40" s="22"/>
      <c r="I40" s="22"/>
      <c r="J40" s="22"/>
      <c r="K40" s="38"/>
      <c r="L40" s="87">
        <v>0.72</v>
      </c>
      <c r="M40" s="87">
        <v>0.72</v>
      </c>
      <c r="N40" s="87">
        <v>0.72</v>
      </c>
    </row>
    <row r="41" spans="2:14" ht="12.75">
      <c r="B41" s="88" t="s">
        <v>76</v>
      </c>
      <c r="C41" s="16"/>
      <c r="D41" s="87">
        <v>2.02</v>
      </c>
      <c r="E41" s="87">
        <v>1.75</v>
      </c>
      <c r="F41" s="87">
        <v>2.17</v>
      </c>
      <c r="G41" s="22"/>
      <c r="H41" s="87">
        <v>3.37</v>
      </c>
      <c r="I41" s="87">
        <v>2.86</v>
      </c>
      <c r="J41" s="87">
        <v>2.61</v>
      </c>
      <c r="K41" s="22"/>
      <c r="L41" s="87">
        <v>5.93</v>
      </c>
      <c r="M41" s="87">
        <v>3.96</v>
      </c>
      <c r="N41" s="87">
        <v>4.73</v>
      </c>
    </row>
    <row r="42" spans="2:14" ht="12.75">
      <c r="B42" s="84" t="s">
        <v>62</v>
      </c>
      <c r="C42" s="16"/>
      <c r="D42" s="85">
        <v>2.2</v>
      </c>
      <c r="E42" s="85">
        <v>2.2</v>
      </c>
      <c r="F42" s="85">
        <v>2.2</v>
      </c>
      <c r="G42" s="38"/>
      <c r="H42" s="86">
        <v>3.31</v>
      </c>
      <c r="I42" s="86">
        <v>2.85</v>
      </c>
      <c r="J42" s="86">
        <v>2.61</v>
      </c>
      <c r="K42" s="38"/>
      <c r="L42" s="87">
        <v>2.04</v>
      </c>
      <c r="M42" s="87">
        <v>1.64</v>
      </c>
      <c r="N42" s="87">
        <v>1.63</v>
      </c>
    </row>
    <row r="43" spans="2:14" ht="12.75">
      <c r="B43" s="88" t="s">
        <v>83</v>
      </c>
      <c r="C43" s="23"/>
      <c r="D43" s="87">
        <v>3.14</v>
      </c>
      <c r="E43" s="87">
        <v>2.41</v>
      </c>
      <c r="F43" s="87">
        <v>2.62</v>
      </c>
      <c r="G43" s="14"/>
      <c r="H43" s="87">
        <v>4.25</v>
      </c>
      <c r="I43" s="87">
        <v>2.19</v>
      </c>
      <c r="J43" s="87">
        <v>1.94</v>
      </c>
      <c r="K43" s="14"/>
      <c r="L43" s="87">
        <v>2.43</v>
      </c>
      <c r="M43" s="87">
        <v>2.05</v>
      </c>
      <c r="N43" s="87">
        <v>2.37</v>
      </c>
    </row>
    <row r="44" spans="2:14" ht="12.75">
      <c r="B44" s="88" t="s">
        <v>80</v>
      </c>
      <c r="C44" s="23"/>
      <c r="D44" s="86">
        <v>2.33</v>
      </c>
      <c r="E44" s="86">
        <v>2.26</v>
      </c>
      <c r="F44" s="86">
        <v>3.44</v>
      </c>
      <c r="G44" s="22"/>
      <c r="H44" s="86">
        <v>4.42</v>
      </c>
      <c r="I44" s="86">
        <v>2.74</v>
      </c>
      <c r="J44" s="86">
        <v>2.53</v>
      </c>
      <c r="K44" s="22"/>
      <c r="L44" s="86">
        <v>2.1</v>
      </c>
      <c r="M44" s="86">
        <v>2.1</v>
      </c>
      <c r="N44" s="86">
        <v>2.1</v>
      </c>
    </row>
    <row r="45" spans="2:14" ht="12.75">
      <c r="B45" s="84" t="s">
        <v>56</v>
      </c>
      <c r="C45" s="16"/>
      <c r="D45" s="85">
        <v>1.19</v>
      </c>
      <c r="E45" s="85">
        <v>1.23</v>
      </c>
      <c r="F45" s="85">
        <v>1.59</v>
      </c>
      <c r="G45" s="38"/>
      <c r="H45" s="86">
        <v>3.46</v>
      </c>
      <c r="I45" s="86">
        <v>2.83</v>
      </c>
      <c r="J45" s="86">
        <v>3.03</v>
      </c>
      <c r="K45" s="38"/>
      <c r="L45" s="86">
        <v>2.12</v>
      </c>
      <c r="M45" s="86">
        <v>2.07</v>
      </c>
      <c r="N45" s="86">
        <v>2.21</v>
      </c>
    </row>
    <row r="46" spans="2:14" ht="12.75">
      <c r="B46" s="84" t="s">
        <v>70</v>
      </c>
      <c r="C46" s="16"/>
      <c r="D46" s="86">
        <v>1.06</v>
      </c>
      <c r="E46" s="86">
        <v>1</v>
      </c>
      <c r="F46" s="86">
        <v>1.66</v>
      </c>
      <c r="G46" s="38"/>
      <c r="H46" s="86">
        <v>3.19</v>
      </c>
      <c r="I46" s="86">
        <v>2.76</v>
      </c>
      <c r="J46" s="86">
        <v>2.54</v>
      </c>
      <c r="K46" s="38"/>
      <c r="L46" s="87">
        <v>1.53</v>
      </c>
      <c r="M46" s="87">
        <v>1.43</v>
      </c>
      <c r="N46" s="87">
        <v>1.61</v>
      </c>
    </row>
    <row r="47" spans="2:14" ht="12.75">
      <c r="B47" s="88" t="s">
        <v>81</v>
      </c>
      <c r="C47" s="16"/>
      <c r="D47" s="87">
        <v>2.37</v>
      </c>
      <c r="E47" s="87">
        <v>2.37</v>
      </c>
      <c r="F47" s="87">
        <v>2.56</v>
      </c>
      <c r="G47" s="14"/>
      <c r="H47" s="87">
        <v>3.51</v>
      </c>
      <c r="I47" s="87">
        <v>3.03</v>
      </c>
      <c r="J47" s="87">
        <v>2.79</v>
      </c>
      <c r="K47" s="14"/>
      <c r="L47" s="87">
        <v>0.45</v>
      </c>
      <c r="M47" s="87">
        <v>0.45</v>
      </c>
      <c r="N47" s="87">
        <v>0.45</v>
      </c>
    </row>
    <row r="48" spans="2:14" ht="12.75">
      <c r="B48" s="88" t="s">
        <v>77</v>
      </c>
      <c r="C48" s="16"/>
      <c r="D48" s="87">
        <v>1.32</v>
      </c>
      <c r="E48" s="87">
        <v>1.34</v>
      </c>
      <c r="F48" s="87">
        <v>1.68</v>
      </c>
      <c r="G48" s="22"/>
      <c r="H48" s="87">
        <v>3.95</v>
      </c>
      <c r="I48" s="87">
        <v>3.25</v>
      </c>
      <c r="J48" s="87">
        <v>2.9</v>
      </c>
      <c r="K48" s="22"/>
      <c r="L48" s="87">
        <v>2.31</v>
      </c>
      <c r="M48" s="87">
        <v>2.39</v>
      </c>
      <c r="N48" s="87">
        <v>2.8</v>
      </c>
    </row>
    <row r="49" spans="2:14" ht="12.75">
      <c r="B49" s="88" t="s">
        <v>78</v>
      </c>
      <c r="C49" s="16"/>
      <c r="D49" s="87">
        <v>1.24</v>
      </c>
      <c r="E49" s="87">
        <v>0.99</v>
      </c>
      <c r="F49" s="87">
        <v>0.95</v>
      </c>
      <c r="G49" s="22"/>
      <c r="H49" s="87">
        <v>3.12</v>
      </c>
      <c r="I49" s="87">
        <v>2.19</v>
      </c>
      <c r="J49" s="87">
        <v>2.06</v>
      </c>
      <c r="K49" s="22"/>
      <c r="L49" s="87">
        <v>0.93</v>
      </c>
      <c r="M49" s="87">
        <v>0.78</v>
      </c>
      <c r="N49" s="87">
        <v>0.83</v>
      </c>
    </row>
    <row r="50" spans="2:14" ht="12.75">
      <c r="B50" s="84" t="s">
        <v>60</v>
      </c>
      <c r="C50" s="16"/>
      <c r="D50" s="85">
        <v>0.99</v>
      </c>
      <c r="E50" s="85">
        <v>0.67</v>
      </c>
      <c r="F50" s="85">
        <v>0.82</v>
      </c>
      <c r="G50" s="38"/>
      <c r="H50" s="86">
        <v>4.71</v>
      </c>
      <c r="I50" s="86">
        <v>2.78</v>
      </c>
      <c r="J50" s="86">
        <v>2.58</v>
      </c>
      <c r="K50" s="38"/>
      <c r="L50" s="86">
        <v>1.81</v>
      </c>
      <c r="M50" s="86">
        <v>1.52</v>
      </c>
      <c r="N50" s="86">
        <v>1.62</v>
      </c>
    </row>
    <row r="51" spans="2:14" ht="12.75">
      <c r="B51" s="84" t="s">
        <v>61</v>
      </c>
      <c r="C51" s="17"/>
      <c r="D51" s="85">
        <v>1.93</v>
      </c>
      <c r="E51" s="85">
        <v>1.86</v>
      </c>
      <c r="F51" s="85">
        <v>2.03</v>
      </c>
      <c r="G51" s="38"/>
      <c r="H51" s="86">
        <v>1.87</v>
      </c>
      <c r="I51" s="86">
        <v>1.87</v>
      </c>
      <c r="J51" s="86">
        <v>1.87</v>
      </c>
      <c r="K51" s="38"/>
      <c r="L51" s="86">
        <v>1.8</v>
      </c>
      <c r="M51" s="86">
        <v>1.8</v>
      </c>
      <c r="N51" s="86">
        <v>1.8</v>
      </c>
    </row>
    <row r="52" spans="2:14" ht="12.75">
      <c r="B52" s="84" t="s">
        <v>67</v>
      </c>
      <c r="D52" s="85">
        <v>2.65</v>
      </c>
      <c r="E52" s="85">
        <v>1.87</v>
      </c>
      <c r="F52" s="85">
        <v>1.98</v>
      </c>
      <c r="G52" s="38"/>
      <c r="H52" s="86">
        <v>2.73</v>
      </c>
      <c r="I52" s="86">
        <v>2.73</v>
      </c>
      <c r="J52" s="86">
        <v>2.73</v>
      </c>
      <c r="K52" s="38"/>
      <c r="L52" s="87">
        <v>1.55</v>
      </c>
      <c r="M52" s="87">
        <v>1.44</v>
      </c>
      <c r="N52" s="87">
        <v>1.75</v>
      </c>
    </row>
    <row r="53" spans="2:14" ht="12.75">
      <c r="B53" s="84" t="s">
        <v>63</v>
      </c>
      <c r="D53" s="85">
        <v>1.88</v>
      </c>
      <c r="E53" s="85">
        <v>1.64</v>
      </c>
      <c r="F53" s="85">
        <v>1.99</v>
      </c>
      <c r="G53" s="38"/>
      <c r="H53" s="86">
        <v>3.38</v>
      </c>
      <c r="I53" s="86">
        <v>2.21</v>
      </c>
      <c r="J53" s="86">
        <v>2.06</v>
      </c>
      <c r="K53" s="38"/>
      <c r="L53" s="87">
        <v>3.11</v>
      </c>
      <c r="M53" s="87">
        <v>2.53</v>
      </c>
      <c r="N53" s="87">
        <v>3.31</v>
      </c>
    </row>
  </sheetData>
  <sheetProtection/>
  <mergeCells count="8">
    <mergeCell ref="H6:J6"/>
    <mergeCell ref="L6:N6"/>
    <mergeCell ref="D6:F6"/>
    <mergeCell ref="B2:N2"/>
    <mergeCell ref="B3:N3"/>
    <mergeCell ref="D4:F4"/>
    <mergeCell ref="H4:J4"/>
    <mergeCell ref="L4:N4"/>
  </mergeCells>
  <hyperlinks>
    <hyperlink ref="B3:N3" r:id="rId1" display="Source : http://www.preisvergleiche.preisueberwacher.admin.ch/?l=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16.7109375" style="0" customWidth="1"/>
    <col min="2" max="2" width="18.7109375" style="0" customWidth="1"/>
    <col min="3" max="3" width="2.8515625" style="0" customWidth="1"/>
    <col min="4" max="6" width="9.7109375" style="0" customWidth="1"/>
    <col min="7" max="7" width="3.7109375" style="0" customWidth="1"/>
    <col min="8" max="10" width="9.7109375" style="0" customWidth="1"/>
    <col min="11" max="11" width="3.7109375" style="0" customWidth="1"/>
    <col min="12" max="14" width="9.7109375" style="0" customWidth="1"/>
    <col min="15" max="15" width="3.8515625" style="0" customWidth="1"/>
  </cols>
  <sheetData>
    <row r="2" spans="2:14" ht="33.75" customHeight="1">
      <c r="B2" s="139" t="s">
        <v>206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4" ht="15" customHeight="1" thickBot="1">
      <c r="B3" s="153" t="s">
        <v>207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33.75" customHeight="1" thickBot="1">
      <c r="A4" s="32"/>
      <c r="D4" s="154" t="s">
        <v>86</v>
      </c>
      <c r="E4" s="155"/>
      <c r="F4" s="156"/>
      <c r="H4" s="154" t="s">
        <v>88</v>
      </c>
      <c r="I4" s="155"/>
      <c r="J4" s="156"/>
      <c r="L4" s="154" t="s">
        <v>87</v>
      </c>
      <c r="M4" s="155"/>
      <c r="N4" s="156"/>
    </row>
    <row r="5" spans="4:14" ht="102.75" customHeight="1" thickBot="1">
      <c r="D5" s="33" t="s">
        <v>27</v>
      </c>
      <c r="E5" s="33" t="s">
        <v>28</v>
      </c>
      <c r="F5" s="33" t="s">
        <v>29</v>
      </c>
      <c r="H5" s="7" t="s">
        <v>27</v>
      </c>
      <c r="I5" s="7" t="s">
        <v>28</v>
      </c>
      <c r="J5" s="7" t="s">
        <v>29</v>
      </c>
      <c r="L5" s="7" t="s">
        <v>27</v>
      </c>
      <c r="M5" s="7" t="s">
        <v>28</v>
      </c>
      <c r="N5" s="7" t="s">
        <v>29</v>
      </c>
    </row>
    <row r="6" spans="2:14" ht="14.25" customHeight="1" thickBot="1">
      <c r="B6" s="24"/>
      <c r="C6" s="13"/>
      <c r="D6" s="150" t="s">
        <v>30</v>
      </c>
      <c r="E6" s="151"/>
      <c r="F6" s="152"/>
      <c r="H6" s="150" t="s">
        <v>71</v>
      </c>
      <c r="I6" s="151"/>
      <c r="J6" s="152"/>
      <c r="L6" s="150" t="s">
        <v>72</v>
      </c>
      <c r="M6" s="151"/>
      <c r="N6" s="152"/>
    </row>
    <row r="7" spans="2:15" ht="12.75">
      <c r="B7" s="28" t="s">
        <v>31</v>
      </c>
      <c r="C7" s="13"/>
      <c r="D7" s="25">
        <v>0.37</v>
      </c>
      <c r="E7" s="20">
        <v>0.38</v>
      </c>
      <c r="F7" s="21">
        <v>0.44</v>
      </c>
      <c r="G7" s="34"/>
      <c r="H7" s="25">
        <v>1.3</v>
      </c>
      <c r="I7" s="20">
        <v>0.7</v>
      </c>
      <c r="J7" s="21">
        <v>0.54</v>
      </c>
      <c r="K7" s="34"/>
      <c r="L7" s="25">
        <v>0.5</v>
      </c>
      <c r="M7" s="20">
        <v>0.31</v>
      </c>
      <c r="N7" s="21">
        <v>0.31</v>
      </c>
      <c r="O7" s="34"/>
    </row>
    <row r="8" spans="2:15" ht="12.75">
      <c r="B8" s="29" t="s">
        <v>32</v>
      </c>
      <c r="C8" s="13"/>
      <c r="D8" s="26">
        <v>1.46</v>
      </c>
      <c r="E8" s="9">
        <v>1.32</v>
      </c>
      <c r="F8" s="10">
        <v>1.52</v>
      </c>
      <c r="G8" s="34"/>
      <c r="H8" s="26">
        <v>2.44</v>
      </c>
      <c r="I8" s="9">
        <v>1.97</v>
      </c>
      <c r="J8" s="10">
        <v>1.86</v>
      </c>
      <c r="K8" s="34"/>
      <c r="L8" s="26">
        <v>1.53</v>
      </c>
      <c r="M8" s="9">
        <v>1.44</v>
      </c>
      <c r="N8" s="10">
        <v>1.57</v>
      </c>
      <c r="O8" s="34"/>
    </row>
    <row r="9" spans="2:15" ht="12.75">
      <c r="B9" s="29" t="s">
        <v>33</v>
      </c>
      <c r="C9" s="13"/>
      <c r="D9" s="26">
        <v>1.92</v>
      </c>
      <c r="E9" s="9">
        <v>1.92</v>
      </c>
      <c r="F9" s="10">
        <v>2.07</v>
      </c>
      <c r="G9" s="34"/>
      <c r="H9" s="26">
        <v>3.09</v>
      </c>
      <c r="I9" s="9">
        <v>2.28</v>
      </c>
      <c r="J9" s="10">
        <v>2.17</v>
      </c>
      <c r="K9" s="34"/>
      <c r="L9" s="26">
        <v>2.06</v>
      </c>
      <c r="M9" s="9">
        <v>1.9</v>
      </c>
      <c r="N9" s="10">
        <v>2.1</v>
      </c>
      <c r="O9" s="34"/>
    </row>
    <row r="10" spans="2:15" ht="12.75">
      <c r="B10" s="29" t="s">
        <v>34</v>
      </c>
      <c r="C10" s="13"/>
      <c r="D10" s="26">
        <v>2.32</v>
      </c>
      <c r="E10" s="9">
        <v>2.14</v>
      </c>
      <c r="F10" s="10">
        <v>2.52</v>
      </c>
      <c r="G10" s="34"/>
      <c r="H10" s="26">
        <v>3.72</v>
      </c>
      <c r="I10" s="9">
        <v>2.57</v>
      </c>
      <c r="J10" s="10">
        <v>2.5</v>
      </c>
      <c r="K10" s="34"/>
      <c r="L10" s="26">
        <v>2.57</v>
      </c>
      <c r="M10" s="9">
        <v>2.48</v>
      </c>
      <c r="N10" s="10">
        <v>2.7</v>
      </c>
      <c r="O10" s="34"/>
    </row>
    <row r="11" spans="2:15" ht="12.75">
      <c r="B11" s="29" t="s">
        <v>35</v>
      </c>
      <c r="C11" s="13"/>
      <c r="D11" s="26">
        <v>7.6</v>
      </c>
      <c r="E11" s="9">
        <v>4.21</v>
      </c>
      <c r="F11" s="10">
        <v>4.88</v>
      </c>
      <c r="G11" s="34"/>
      <c r="H11" s="26">
        <v>5.54</v>
      </c>
      <c r="I11" s="9">
        <v>3.91</v>
      </c>
      <c r="J11" s="10">
        <v>3.76</v>
      </c>
      <c r="K11" s="34"/>
      <c r="L11" s="26">
        <v>5.98</v>
      </c>
      <c r="M11" s="9">
        <v>4.89</v>
      </c>
      <c r="N11" s="10">
        <v>5.42</v>
      </c>
      <c r="O11" s="34"/>
    </row>
    <row r="12" spans="2:15" ht="13.5" thickBot="1">
      <c r="B12" s="30" t="s">
        <v>36</v>
      </c>
      <c r="C12" s="13"/>
      <c r="D12" s="27">
        <v>2.03</v>
      </c>
      <c r="E12" s="11">
        <v>1.76</v>
      </c>
      <c r="F12" s="12">
        <v>2.07</v>
      </c>
      <c r="G12" s="34"/>
      <c r="H12" s="27">
        <v>3.1</v>
      </c>
      <c r="I12" s="11">
        <v>2.31</v>
      </c>
      <c r="J12" s="12">
        <v>2.21</v>
      </c>
      <c r="K12" s="34"/>
      <c r="L12" s="27">
        <v>2.18</v>
      </c>
      <c r="M12" s="11">
        <v>1.97</v>
      </c>
      <c r="N12" s="12">
        <v>2.16</v>
      </c>
      <c r="O12" s="34"/>
    </row>
    <row r="13" spans="2:15" ht="12.75">
      <c r="B13" s="13"/>
      <c r="C13" s="13"/>
      <c r="D13" s="35"/>
      <c r="E13" s="35"/>
      <c r="F13" s="35"/>
      <c r="G13" s="36"/>
      <c r="H13" s="35"/>
      <c r="I13" s="35"/>
      <c r="J13" s="35"/>
      <c r="K13" s="36"/>
      <c r="L13" s="35"/>
      <c r="M13" s="35"/>
      <c r="N13" s="35"/>
      <c r="O13" s="34"/>
    </row>
    <row r="14" spans="2:15" ht="12.75">
      <c r="B14" s="81" t="s">
        <v>162</v>
      </c>
      <c r="C14" s="17"/>
      <c r="D14" s="82">
        <f>'Calculs taxes annuelles L'!$C$59</f>
        <v>1.7545454545454546</v>
      </c>
      <c r="E14" s="82">
        <f>'Calculs taxes annuelles L'!$C$59</f>
        <v>1.7545454545454546</v>
      </c>
      <c r="F14" s="82">
        <f>'Calculs taxes annuelles L'!$C$59</f>
        <v>1.7545454545454546</v>
      </c>
      <c r="G14" s="38"/>
      <c r="H14" s="83">
        <f>'Calculs taxes annuelles L'!$C$64</f>
        <v>4.714908637873754</v>
      </c>
      <c r="I14" s="83">
        <f>'Calculs taxes annuelles L'!$C$64</f>
        <v>4.714908637873754</v>
      </c>
      <c r="J14" s="83">
        <f>'Calculs taxes annuelles L'!$C$64</f>
        <v>4.714908637873754</v>
      </c>
      <c r="K14" s="38"/>
      <c r="L14" s="83">
        <f>'Calculs taxes annuelles L'!$C$61</f>
        <v>2</v>
      </c>
      <c r="M14" s="83">
        <f>'Calculs taxes annuelles L'!$C$61</f>
        <v>2</v>
      </c>
      <c r="N14" s="83">
        <f>'Calculs taxes annuelles L'!$C$61</f>
        <v>2</v>
      </c>
      <c r="O14" s="34"/>
    </row>
    <row r="15" spans="2:15" ht="12.75">
      <c r="B15" s="81" t="s">
        <v>184</v>
      </c>
      <c r="C15" s="81"/>
      <c r="D15" s="82">
        <f>'Calculs taxes annuelles L'!$E$59</f>
        <v>2.6636363636363636</v>
      </c>
      <c r="E15" s="82">
        <f>'Calculs taxes annuelles L'!$E$59</f>
        <v>2.6636363636363636</v>
      </c>
      <c r="F15" s="82">
        <f>'Calculs taxes annuelles L'!$E$59</f>
        <v>2.6636363636363636</v>
      </c>
      <c r="G15" s="38"/>
      <c r="H15" s="83">
        <f>'Calculs taxes annuelles L'!$E$64</f>
        <v>6.158485603543743</v>
      </c>
      <c r="I15" s="83">
        <f>'Calculs taxes annuelles L'!$E$64</f>
        <v>6.158485603543743</v>
      </c>
      <c r="J15" s="83">
        <f>'Calculs taxes annuelles L'!$E$64</f>
        <v>6.158485603543743</v>
      </c>
      <c r="K15" s="38"/>
      <c r="L15" s="83">
        <f>'Calculs taxes annuelles L'!$E$61</f>
        <v>2.1636363636363636</v>
      </c>
      <c r="M15" s="83">
        <f>'Calculs taxes annuelles L'!$E$61</f>
        <v>2.1636363636363636</v>
      </c>
      <c r="N15" s="83">
        <f>'Calculs taxes annuelles L'!$E$61</f>
        <v>2.1636363636363636</v>
      </c>
      <c r="O15" s="34"/>
    </row>
    <row r="16" spans="2:15" ht="12.75">
      <c r="B16" s="81" t="s">
        <v>185</v>
      </c>
      <c r="C16" s="81"/>
      <c r="D16" s="82">
        <f>'Calculs taxes annuelles L'!$F$59</f>
        <v>4.281818181818182</v>
      </c>
      <c r="E16" s="82">
        <f>'Calculs taxes annuelles L'!$F$59</f>
        <v>4.281818181818182</v>
      </c>
      <c r="F16" s="82">
        <f>'Calculs taxes annuelles L'!$F$59</f>
        <v>4.281818181818182</v>
      </c>
      <c r="G16" s="38"/>
      <c r="H16" s="83">
        <f>'Calculs taxes annuelles L'!$F$64</f>
        <v>6.018784606866002</v>
      </c>
      <c r="I16" s="83">
        <f>'Calculs taxes annuelles L'!$F$64</f>
        <v>6.018784606866002</v>
      </c>
      <c r="J16" s="83">
        <f>'Calculs taxes annuelles L'!$F$64</f>
        <v>6.018784606866002</v>
      </c>
      <c r="K16" s="38"/>
      <c r="L16" s="83">
        <f>'Calculs taxes annuelles L'!$F$61</f>
        <v>2</v>
      </c>
      <c r="M16" s="83">
        <f>'Calculs taxes annuelles L'!$F$61</f>
        <v>2</v>
      </c>
      <c r="N16" s="83">
        <f>'Calculs taxes annuelles L'!$F$61</f>
        <v>2</v>
      </c>
      <c r="O16" s="34"/>
    </row>
    <row r="17" spans="2:15" ht="12.75">
      <c r="B17" s="81" t="s">
        <v>186</v>
      </c>
      <c r="C17" s="81"/>
      <c r="D17" s="82">
        <f>'Calculs taxes annuelles L'!$G$59</f>
        <v>3.7818181818181817</v>
      </c>
      <c r="E17" s="82">
        <f>'Calculs taxes annuelles L'!$G$59</f>
        <v>3.7818181818181817</v>
      </c>
      <c r="F17" s="82">
        <f>'Calculs taxes annuelles L'!$G$59</f>
        <v>3.7818181818181817</v>
      </c>
      <c r="G17" s="38"/>
      <c r="H17" s="83">
        <f>'Calculs taxes annuelles L'!$G$64</f>
        <v>6.018784606866002</v>
      </c>
      <c r="I17" s="83">
        <f>'Calculs taxes annuelles L'!$G$64</f>
        <v>6.018784606866002</v>
      </c>
      <c r="J17" s="83">
        <f>'Calculs taxes annuelles L'!$G$64</f>
        <v>6.018784606866002</v>
      </c>
      <c r="K17" s="38"/>
      <c r="L17" s="83">
        <f>'Calculs taxes annuelles L'!$G$61</f>
        <v>2</v>
      </c>
      <c r="M17" s="83">
        <f>'Calculs taxes annuelles L'!$G$61</f>
        <v>2</v>
      </c>
      <c r="N17" s="83">
        <f>'Calculs taxes annuelles L'!$G$61</f>
        <v>2</v>
      </c>
      <c r="O17" s="34"/>
    </row>
    <row r="18" spans="2:15" ht="12.75">
      <c r="B18" s="14" t="s">
        <v>164</v>
      </c>
      <c r="C18" s="15"/>
      <c r="D18" s="82">
        <f>'Calculs taxes annuelles L'!$H$59</f>
        <v>3.7818181818181817</v>
      </c>
      <c r="E18" s="82">
        <f>'Calculs taxes annuelles L'!$H$59</f>
        <v>3.7818181818181817</v>
      </c>
      <c r="F18" s="82">
        <f>'Calculs taxes annuelles L'!$H$59</f>
        <v>3.7818181818181817</v>
      </c>
      <c r="G18" s="38"/>
      <c r="H18" s="83">
        <f>'Calculs taxes annuelles L'!$H$64</f>
        <v>6.018784606866002</v>
      </c>
      <c r="I18" s="83">
        <f>'Calculs taxes annuelles L'!$H$64</f>
        <v>6.018784606866002</v>
      </c>
      <c r="J18" s="83">
        <f>'Calculs taxes annuelles L'!$H$64</f>
        <v>6.018784606866002</v>
      </c>
      <c r="K18" s="38"/>
      <c r="L18" s="83">
        <f>'Calculs taxes annuelles L'!$H$61</f>
        <v>2</v>
      </c>
      <c r="M18" s="83">
        <f>'Calculs taxes annuelles L'!$H$61</f>
        <v>2</v>
      </c>
      <c r="N18" s="83">
        <f>'Calculs taxes annuelles L'!$H$61</f>
        <v>2</v>
      </c>
      <c r="O18" s="34"/>
    </row>
    <row r="19" spans="2:15" ht="12.75">
      <c r="B19" s="14" t="s">
        <v>163</v>
      </c>
      <c r="C19" s="15"/>
      <c r="D19" s="82">
        <f>'Calculs taxes annuelles L'!$I$59</f>
        <v>3.1818181818181817</v>
      </c>
      <c r="E19" s="82">
        <f>'Calculs taxes annuelles L'!$I$59</f>
        <v>3.1818181818181817</v>
      </c>
      <c r="F19" s="82">
        <f>'Calculs taxes annuelles L'!$I$59</f>
        <v>3.1818181818181817</v>
      </c>
      <c r="G19" s="38"/>
      <c r="H19" s="83">
        <f>'Calculs taxes annuelles L'!$I$64</f>
        <v>6.018784606866002</v>
      </c>
      <c r="I19" s="83">
        <f>'Calculs taxes annuelles L'!$I$64</f>
        <v>6.018784606866002</v>
      </c>
      <c r="J19" s="83">
        <f>'Calculs taxes annuelles L'!$I$64</f>
        <v>6.018784606866002</v>
      </c>
      <c r="K19" s="38"/>
      <c r="L19" s="83">
        <f>'Calculs taxes annuelles L'!$I$61</f>
        <v>3.867272727272727</v>
      </c>
      <c r="M19" s="83">
        <f>'Calculs taxes annuelles L'!$I$61</f>
        <v>3.867272727272727</v>
      </c>
      <c r="N19" s="83">
        <f>'Calculs taxes annuelles L'!$I$61</f>
        <v>3.867272727272727</v>
      </c>
      <c r="O19" s="34"/>
    </row>
    <row r="20" spans="2:15" ht="12.75">
      <c r="B20" s="15"/>
      <c r="C20" s="15"/>
      <c r="D20" s="82"/>
      <c r="E20" s="82"/>
      <c r="F20" s="82"/>
      <c r="G20" s="38"/>
      <c r="H20" s="83"/>
      <c r="I20" s="83"/>
      <c r="J20" s="83"/>
      <c r="K20" s="38"/>
      <c r="L20" s="83"/>
      <c r="M20" s="83"/>
      <c r="N20" s="83"/>
      <c r="O20" s="34"/>
    </row>
    <row r="21" spans="2:15" ht="12.75">
      <c r="B21" s="14" t="s">
        <v>196</v>
      </c>
      <c r="C21" s="15"/>
      <c r="D21" s="82">
        <f>'Données prix Bassins'!B$53</f>
        <v>1.7545454545454546</v>
      </c>
      <c r="E21" s="82">
        <f>'Données prix Bassins'!B$80</f>
        <v>1.7580645161290323</v>
      </c>
      <c r="F21" s="82">
        <f>'Données prix Bassins'!B$107</f>
        <v>1.9142857142857144</v>
      </c>
      <c r="G21" s="38"/>
      <c r="H21" s="83">
        <f>'Données prix Bassins'!B$69</f>
        <v>4.709302325581396</v>
      </c>
      <c r="I21" s="83">
        <f>'Données prix Bassins'!B$96</f>
        <v>4.560852713178295</v>
      </c>
      <c r="J21" s="83">
        <f>'Données prix Bassins'!B$123</f>
        <v>4.481686046511628</v>
      </c>
      <c r="K21" s="38"/>
      <c r="L21" s="83">
        <f>'Données prix Bassins'!B$61</f>
        <v>2</v>
      </c>
      <c r="M21" s="83">
        <f>'Données prix Bassins'!B$88</f>
        <v>2</v>
      </c>
      <c r="N21" s="83">
        <f>'Données prix Bassins'!B$115</f>
        <v>2</v>
      </c>
      <c r="O21" s="34"/>
    </row>
    <row r="22" spans="2:15" ht="12.75">
      <c r="B22" s="14" t="s">
        <v>197</v>
      </c>
      <c r="C22" s="15"/>
      <c r="D22" s="82">
        <f>'Données prix Bassins'!C$53</f>
        <v>2.6636363636363636</v>
      </c>
      <c r="E22" s="82">
        <f>'Données prix Bassins'!C$80</f>
        <v>2.3344086021505377</v>
      </c>
      <c r="F22" s="82">
        <f>'Données prix Bassins'!C$107</f>
        <v>2.425396825396825</v>
      </c>
      <c r="G22" s="38"/>
      <c r="H22" s="83">
        <f>'Données prix Bassins'!C$69</f>
        <v>6.151162790697675</v>
      </c>
      <c r="I22" s="83">
        <f>'Données prix Bassins'!C$96</f>
        <v>5.5996124031007755</v>
      </c>
      <c r="J22" s="83">
        <f>'Données prix Bassins'!C$123</f>
        <v>5.318895348837209</v>
      </c>
      <c r="K22" s="38"/>
      <c r="L22" s="83">
        <f>'Données prix Bassins'!C$61</f>
        <v>2.1636363636363636</v>
      </c>
      <c r="M22" s="83">
        <f>'Données prix Bassins'!C$88</f>
        <v>2.174193548387097</v>
      </c>
      <c r="N22" s="83">
        <f>'Données prix Bassins'!C$115</f>
        <v>2.1714285714285713</v>
      </c>
      <c r="O22" s="34"/>
    </row>
    <row r="23" spans="2:15" ht="12.75">
      <c r="B23" s="14" t="s">
        <v>198</v>
      </c>
      <c r="C23" s="15"/>
      <c r="D23" s="82">
        <f>'Données prix Bassins'!D$53</f>
        <v>4.281818181818182</v>
      </c>
      <c r="E23" s="82">
        <f>'Données prix Bassins'!D$80</f>
        <v>3.2870967741935484</v>
      </c>
      <c r="F23" s="82">
        <f>'Données prix Bassins'!D$107</f>
        <v>3.2476190476190476</v>
      </c>
      <c r="G23" s="38"/>
      <c r="H23" s="83">
        <f>'Données prix Bassins'!D$69</f>
        <v>6.011627906976744</v>
      </c>
      <c r="I23" s="83">
        <f>'Données prix Bassins'!D$96</f>
        <v>5.498837209302326</v>
      </c>
      <c r="J23" s="83">
        <f>'Données prix Bassins'!D$123</f>
        <v>5.2375</v>
      </c>
      <c r="K23" s="38"/>
      <c r="L23" s="83">
        <f>'Données prix Bassins'!D$61</f>
        <v>2</v>
      </c>
      <c r="M23" s="83">
        <f>'Données prix Bassins'!D$88</f>
        <v>2</v>
      </c>
      <c r="N23" s="83">
        <f>'Données prix Bassins'!D$115</f>
        <v>2</v>
      </c>
      <c r="O23" s="34"/>
    </row>
    <row r="24" spans="2:15" ht="12.75">
      <c r="B24" s="14" t="s">
        <v>199</v>
      </c>
      <c r="C24" s="15"/>
      <c r="D24" s="82">
        <f>'Données prix Bassins'!E$53</f>
        <v>3.7818181818181817</v>
      </c>
      <c r="E24" s="82">
        <f>'Données prix Bassins'!E$80</f>
        <v>2.7870967741935484</v>
      </c>
      <c r="F24" s="82">
        <f>'Données prix Bassins'!E$107</f>
        <v>2.7476190476190476</v>
      </c>
      <c r="G24" s="38"/>
      <c r="H24" s="83">
        <f>'Données prix Bassins'!E$69</f>
        <v>6.011627906976744</v>
      </c>
      <c r="I24" s="83">
        <f>'Données prix Bassins'!E$96</f>
        <v>5.498837209302326</v>
      </c>
      <c r="J24" s="83">
        <f>'Données prix Bassins'!E$123</f>
        <v>5.2375</v>
      </c>
      <c r="K24" s="38"/>
      <c r="L24" s="83">
        <f>'Données prix Bassins'!E$61</f>
        <v>2</v>
      </c>
      <c r="M24" s="83">
        <f>'Données prix Bassins'!E$88</f>
        <v>2</v>
      </c>
      <c r="N24" s="83">
        <f>'Données prix Bassins'!E$115</f>
        <v>2</v>
      </c>
      <c r="O24" s="34"/>
    </row>
    <row r="25" spans="2:15" ht="12.75">
      <c r="B25" s="14" t="s">
        <v>200</v>
      </c>
      <c r="C25" s="15"/>
      <c r="D25" s="82">
        <f>'Données prix Bassins'!F$53</f>
        <v>3.7818181818181817</v>
      </c>
      <c r="E25" s="82">
        <f>'Données prix Bassins'!F$80</f>
        <v>2.7870967741935484</v>
      </c>
      <c r="F25" s="82">
        <f>'Données prix Bassins'!F$107</f>
        <v>2.7476190476190476</v>
      </c>
      <c r="G25" s="38"/>
      <c r="H25" s="83">
        <f>'Données prix Bassins'!F$69</f>
        <v>6.011627906976744</v>
      </c>
      <c r="I25" s="83">
        <f>'Données prix Bassins'!F$96</f>
        <v>5.498837209302326</v>
      </c>
      <c r="J25" s="83">
        <f>'Données prix Bassins'!F$123</f>
        <v>5.2375</v>
      </c>
      <c r="K25" s="38"/>
      <c r="L25" s="83">
        <f>'Données prix Bassins'!F$61</f>
        <v>2</v>
      </c>
      <c r="M25" s="83">
        <f>'Données prix Bassins'!F$88</f>
        <v>2</v>
      </c>
      <c r="N25" s="83">
        <f>'Données prix Bassins'!F$115</f>
        <v>2</v>
      </c>
      <c r="O25" s="34"/>
    </row>
    <row r="26" spans="2:14" ht="14.25" customHeight="1">
      <c r="B26" s="14" t="s">
        <v>201</v>
      </c>
      <c r="C26" s="15"/>
      <c r="D26" s="82">
        <f>'Données prix Bassins'!G$53</f>
        <v>3.1818181818181817</v>
      </c>
      <c r="E26" s="82">
        <f>'Données prix Bassins'!G$80</f>
        <v>2.1870967741935483</v>
      </c>
      <c r="F26" s="82">
        <f>'Données prix Bassins'!G$107</f>
        <v>2.1476190476190475</v>
      </c>
      <c r="G26" s="38"/>
      <c r="H26" s="83">
        <f>'Données prix Bassins'!G$69</f>
        <v>6.011627906976744</v>
      </c>
      <c r="I26" s="83">
        <f>'Données prix Bassins'!G$96</f>
        <v>5.498837209302326</v>
      </c>
      <c r="J26" s="83">
        <f>'Données prix Bassins'!G$123</f>
        <v>5.2375</v>
      </c>
      <c r="K26" s="38"/>
      <c r="L26" s="83">
        <f>'Données prix Bassins'!G$61</f>
        <v>3.867272727272727</v>
      </c>
      <c r="M26" s="83">
        <f>'Données prix Bassins'!G$88</f>
        <v>2.9516129032258065</v>
      </c>
      <c r="N26" s="83">
        <f>'Données prix Bassins'!G$115</f>
        <v>3.4419047619047616</v>
      </c>
    </row>
    <row r="27" spans="2:14" ht="12.75">
      <c r="B27" s="23"/>
      <c r="C27" s="23"/>
      <c r="D27" s="18"/>
      <c r="E27" s="18"/>
      <c r="F27" s="18"/>
      <c r="G27" s="22"/>
      <c r="H27" s="18"/>
      <c r="I27" s="18"/>
      <c r="J27" s="18"/>
      <c r="K27" s="22"/>
      <c r="L27" s="18"/>
      <c r="M27" s="18"/>
      <c r="N27" s="18"/>
    </row>
    <row r="28" spans="2:14" ht="12.75">
      <c r="B28" s="23"/>
      <c r="C28" s="23"/>
      <c r="D28" s="18"/>
      <c r="E28" s="18"/>
      <c r="F28" s="18"/>
      <c r="G28" s="22"/>
      <c r="H28" s="18"/>
      <c r="I28" s="18"/>
      <c r="J28" s="18"/>
      <c r="K28" s="22"/>
      <c r="L28" s="18"/>
      <c r="M28" s="18"/>
      <c r="N28" s="18"/>
    </row>
    <row r="29" spans="2:14" ht="12.75">
      <c r="B29" s="84" t="s">
        <v>59</v>
      </c>
      <c r="C29" s="16"/>
      <c r="D29" s="85">
        <v>1.74</v>
      </c>
      <c r="E29" s="85">
        <v>1.16</v>
      </c>
      <c r="F29" s="85">
        <v>1.18</v>
      </c>
      <c r="G29" s="38"/>
      <c r="H29" s="86">
        <v>4.02</v>
      </c>
      <c r="I29" s="86">
        <v>2.58</v>
      </c>
      <c r="J29" s="86">
        <v>2.4</v>
      </c>
      <c r="K29" s="38"/>
      <c r="L29" s="86">
        <v>1</v>
      </c>
      <c r="M29" s="86">
        <v>1</v>
      </c>
      <c r="N29" s="86">
        <v>1</v>
      </c>
    </row>
    <row r="30" spans="2:14" ht="12.75">
      <c r="B30" s="84" t="s">
        <v>65</v>
      </c>
      <c r="C30" s="16"/>
      <c r="D30" s="85">
        <v>2.3</v>
      </c>
      <c r="E30" s="85">
        <v>2.31</v>
      </c>
      <c r="F30" s="85">
        <v>2.73</v>
      </c>
      <c r="G30" s="38"/>
      <c r="H30" s="86">
        <v>3.25</v>
      </c>
      <c r="I30" s="86">
        <v>2.54</v>
      </c>
      <c r="J30" s="86">
        <v>2.68</v>
      </c>
      <c r="K30" s="38"/>
      <c r="L30" s="87">
        <v>2.26</v>
      </c>
      <c r="M30" s="87">
        <v>2.2</v>
      </c>
      <c r="N30" s="87">
        <v>2.86</v>
      </c>
    </row>
    <row r="31" spans="2:14" ht="12.75">
      <c r="B31" s="84" t="s">
        <v>66</v>
      </c>
      <c r="C31" s="16"/>
      <c r="D31" s="85">
        <v>2.13</v>
      </c>
      <c r="E31" s="85">
        <v>2.14</v>
      </c>
      <c r="F31" s="85">
        <v>2.51</v>
      </c>
      <c r="G31" s="38"/>
      <c r="H31" s="22"/>
      <c r="I31" s="22"/>
      <c r="J31" s="22"/>
      <c r="K31" s="38"/>
      <c r="L31" s="87">
        <v>2.31</v>
      </c>
      <c r="M31" s="87">
        <v>2.49</v>
      </c>
      <c r="N31" s="87">
        <v>2.84</v>
      </c>
    </row>
    <row r="32" spans="2:14" ht="12.75">
      <c r="B32" s="84" t="s">
        <v>82</v>
      </c>
      <c r="C32" s="16"/>
      <c r="D32" s="87">
        <v>1.45</v>
      </c>
      <c r="E32" s="87">
        <v>1.43</v>
      </c>
      <c r="F32" s="87">
        <v>1.62</v>
      </c>
      <c r="G32" s="14"/>
      <c r="H32" s="87">
        <v>3.64</v>
      </c>
      <c r="I32" s="87">
        <v>3.21</v>
      </c>
      <c r="J32" s="87">
        <v>2.99</v>
      </c>
      <c r="K32" s="14"/>
      <c r="L32" s="87">
        <v>1.71</v>
      </c>
      <c r="M32" s="87">
        <v>1.7</v>
      </c>
      <c r="N32" s="87">
        <v>1.89</v>
      </c>
    </row>
    <row r="33" spans="2:14" ht="12.75">
      <c r="B33" s="88" t="s">
        <v>75</v>
      </c>
      <c r="C33" s="23"/>
      <c r="D33" s="86">
        <v>2.4</v>
      </c>
      <c r="E33" s="86">
        <v>2.14</v>
      </c>
      <c r="F33" s="86">
        <v>2.52</v>
      </c>
      <c r="G33" s="22"/>
      <c r="H33" s="86">
        <v>3.54</v>
      </c>
      <c r="I33" s="86">
        <v>3.05</v>
      </c>
      <c r="J33" s="86">
        <v>2.8</v>
      </c>
      <c r="K33" s="22"/>
      <c r="L33" s="86">
        <v>1.1</v>
      </c>
      <c r="M33" s="86">
        <v>1.1</v>
      </c>
      <c r="N33" s="86">
        <v>1.1</v>
      </c>
    </row>
    <row r="34" spans="2:14" ht="12.75">
      <c r="B34" s="89" t="s">
        <v>79</v>
      </c>
      <c r="C34" s="16"/>
      <c r="D34" s="86">
        <v>1.8</v>
      </c>
      <c r="E34" s="86">
        <v>1.16</v>
      </c>
      <c r="F34" s="86">
        <v>1.44</v>
      </c>
      <c r="G34" s="22"/>
      <c r="H34" s="86">
        <v>3.76</v>
      </c>
      <c r="I34" s="86">
        <v>3.12</v>
      </c>
      <c r="J34" s="86">
        <v>2.79</v>
      </c>
      <c r="K34" s="22"/>
      <c r="L34" s="86">
        <v>1.6</v>
      </c>
      <c r="M34" s="86">
        <v>1.6</v>
      </c>
      <c r="N34" s="86">
        <v>1.6</v>
      </c>
    </row>
    <row r="35" spans="2:14" ht="12.75">
      <c r="B35" s="84" t="s">
        <v>64</v>
      </c>
      <c r="C35" s="16"/>
      <c r="D35" s="85">
        <v>2.13</v>
      </c>
      <c r="E35" s="85">
        <v>2.14</v>
      </c>
      <c r="F35" s="85">
        <v>2.51</v>
      </c>
      <c r="G35" s="38"/>
      <c r="H35" s="22"/>
      <c r="I35" s="22"/>
      <c r="J35" s="22"/>
      <c r="K35" s="38"/>
      <c r="L35" s="87">
        <v>2.31</v>
      </c>
      <c r="M35" s="87">
        <v>2.49</v>
      </c>
      <c r="N35" s="87">
        <v>2.84</v>
      </c>
    </row>
    <row r="36" spans="2:14" ht="12.75">
      <c r="B36" s="84" t="s">
        <v>57</v>
      </c>
      <c r="C36" s="23"/>
      <c r="D36" s="85">
        <v>1.24</v>
      </c>
      <c r="E36" s="85">
        <v>1.23</v>
      </c>
      <c r="F36" s="85">
        <v>1.32</v>
      </c>
      <c r="G36" s="38"/>
      <c r="H36" s="86">
        <v>3.45</v>
      </c>
      <c r="I36" s="86">
        <v>2.95</v>
      </c>
      <c r="J36" s="86">
        <v>2.69</v>
      </c>
      <c r="K36" s="38"/>
      <c r="L36" s="86">
        <v>1.2</v>
      </c>
      <c r="M36" s="86">
        <v>1.2</v>
      </c>
      <c r="N36" s="86">
        <v>1.2</v>
      </c>
    </row>
    <row r="37" spans="2:14" ht="12.75">
      <c r="B37" s="84" t="s">
        <v>58</v>
      </c>
      <c r="C37" s="16"/>
      <c r="D37" s="85">
        <v>2.33</v>
      </c>
      <c r="E37" s="85">
        <v>2.26</v>
      </c>
      <c r="F37" s="85">
        <v>3.18</v>
      </c>
      <c r="G37" s="38"/>
      <c r="H37" s="86">
        <v>3.37</v>
      </c>
      <c r="I37" s="86">
        <v>2.82</v>
      </c>
      <c r="J37" s="86">
        <v>3</v>
      </c>
      <c r="K37" s="38"/>
      <c r="L37" s="86">
        <v>1.2</v>
      </c>
      <c r="M37" s="86">
        <v>1.2</v>
      </c>
      <c r="N37" s="86">
        <v>1</v>
      </c>
    </row>
    <row r="38" spans="2:14" ht="12.75">
      <c r="B38" s="88" t="s">
        <v>74</v>
      </c>
      <c r="C38" s="16"/>
      <c r="D38" s="86">
        <v>3.28</v>
      </c>
      <c r="E38" s="86">
        <v>3.22</v>
      </c>
      <c r="F38" s="86">
        <v>4.57</v>
      </c>
      <c r="G38" s="22"/>
      <c r="H38" s="86">
        <v>3.7</v>
      </c>
      <c r="I38" s="86">
        <v>3.35</v>
      </c>
      <c r="J38" s="86">
        <v>3.18</v>
      </c>
      <c r="K38" s="22"/>
      <c r="L38" s="86">
        <v>2.63</v>
      </c>
      <c r="M38" s="86">
        <v>2.63</v>
      </c>
      <c r="N38" s="86">
        <v>2.63</v>
      </c>
    </row>
    <row r="39" spans="2:14" ht="12.75">
      <c r="B39" s="84" t="s">
        <v>68</v>
      </c>
      <c r="C39" s="16"/>
      <c r="D39" s="85">
        <v>1.97</v>
      </c>
      <c r="E39" s="85">
        <v>1.36</v>
      </c>
      <c r="F39" s="85">
        <v>1.55</v>
      </c>
      <c r="G39" s="38"/>
      <c r="H39" s="86">
        <v>2.78</v>
      </c>
      <c r="I39" s="86">
        <v>1.49</v>
      </c>
      <c r="J39" s="86">
        <v>1.12</v>
      </c>
      <c r="K39" s="38"/>
      <c r="L39" s="87">
        <v>0.85</v>
      </c>
      <c r="M39" s="87">
        <v>0.85</v>
      </c>
      <c r="N39" s="87">
        <v>0.85</v>
      </c>
    </row>
    <row r="40" spans="2:14" ht="12.75">
      <c r="B40" s="84" t="s">
        <v>69</v>
      </c>
      <c r="C40" s="16"/>
      <c r="D40" s="85">
        <v>1.6</v>
      </c>
      <c r="E40" s="85">
        <v>1.5</v>
      </c>
      <c r="F40" s="85">
        <v>2.3</v>
      </c>
      <c r="G40" s="38"/>
      <c r="H40" s="22"/>
      <c r="I40" s="22"/>
      <c r="J40" s="22"/>
      <c r="K40" s="38"/>
      <c r="L40" s="87">
        <v>0.72</v>
      </c>
      <c r="M40" s="87">
        <v>0.72</v>
      </c>
      <c r="N40" s="87">
        <v>0.72</v>
      </c>
    </row>
    <row r="41" spans="2:14" ht="12.75">
      <c r="B41" s="88" t="s">
        <v>76</v>
      </c>
      <c r="C41" s="16"/>
      <c r="D41" s="87">
        <v>2.02</v>
      </c>
      <c r="E41" s="87">
        <v>1.75</v>
      </c>
      <c r="F41" s="87">
        <v>2.17</v>
      </c>
      <c r="G41" s="22"/>
      <c r="H41" s="87">
        <v>3.37</v>
      </c>
      <c r="I41" s="87">
        <v>2.86</v>
      </c>
      <c r="J41" s="87">
        <v>2.61</v>
      </c>
      <c r="K41" s="22"/>
      <c r="L41" s="87">
        <v>5.93</v>
      </c>
      <c r="M41" s="87">
        <v>3.96</v>
      </c>
      <c r="N41" s="87">
        <v>4.73</v>
      </c>
    </row>
    <row r="42" spans="2:14" ht="12.75">
      <c r="B42" s="84" t="s">
        <v>62</v>
      </c>
      <c r="C42" s="16"/>
      <c r="D42" s="85">
        <v>2.2</v>
      </c>
      <c r="E42" s="85">
        <v>2.2</v>
      </c>
      <c r="F42" s="85">
        <v>2.2</v>
      </c>
      <c r="G42" s="38"/>
      <c r="H42" s="86">
        <v>3.31</v>
      </c>
      <c r="I42" s="86">
        <v>2.85</v>
      </c>
      <c r="J42" s="86">
        <v>2.61</v>
      </c>
      <c r="K42" s="38"/>
      <c r="L42" s="87">
        <v>2.04</v>
      </c>
      <c r="M42" s="87">
        <v>1.64</v>
      </c>
      <c r="N42" s="87">
        <v>1.63</v>
      </c>
    </row>
    <row r="43" spans="2:14" ht="12.75">
      <c r="B43" s="88" t="s">
        <v>83</v>
      </c>
      <c r="C43" s="23"/>
      <c r="D43" s="87">
        <v>3.14</v>
      </c>
      <c r="E43" s="87">
        <v>2.41</v>
      </c>
      <c r="F43" s="87">
        <v>2.62</v>
      </c>
      <c r="G43" s="14"/>
      <c r="H43" s="87">
        <v>4.25</v>
      </c>
      <c r="I43" s="87">
        <v>2.19</v>
      </c>
      <c r="J43" s="87">
        <v>1.94</v>
      </c>
      <c r="K43" s="14"/>
      <c r="L43" s="87">
        <v>2.43</v>
      </c>
      <c r="M43" s="87">
        <v>2.05</v>
      </c>
      <c r="N43" s="87">
        <v>2.37</v>
      </c>
    </row>
    <row r="44" spans="2:14" ht="12.75">
      <c r="B44" s="88" t="s">
        <v>80</v>
      </c>
      <c r="C44" s="23"/>
      <c r="D44" s="86">
        <v>2.33</v>
      </c>
      <c r="E44" s="86">
        <v>2.26</v>
      </c>
      <c r="F44" s="86">
        <v>3.44</v>
      </c>
      <c r="G44" s="22"/>
      <c r="H44" s="86">
        <v>4.42</v>
      </c>
      <c r="I44" s="86">
        <v>2.74</v>
      </c>
      <c r="J44" s="86">
        <v>2.53</v>
      </c>
      <c r="K44" s="22"/>
      <c r="L44" s="86">
        <v>2.1</v>
      </c>
      <c r="M44" s="86">
        <v>2.1</v>
      </c>
      <c r="N44" s="86">
        <v>2.1</v>
      </c>
    </row>
    <row r="45" spans="2:14" ht="12.75">
      <c r="B45" s="84" t="s">
        <v>56</v>
      </c>
      <c r="C45" s="16"/>
      <c r="D45" s="85">
        <v>1.19</v>
      </c>
      <c r="E45" s="85">
        <v>1.23</v>
      </c>
      <c r="F45" s="85">
        <v>1.59</v>
      </c>
      <c r="G45" s="38"/>
      <c r="H45" s="86">
        <v>3.46</v>
      </c>
      <c r="I45" s="86">
        <v>2.83</v>
      </c>
      <c r="J45" s="86">
        <v>3.03</v>
      </c>
      <c r="K45" s="38"/>
      <c r="L45" s="86">
        <v>2.12</v>
      </c>
      <c r="M45" s="86">
        <v>2.07</v>
      </c>
      <c r="N45" s="86">
        <v>2.21</v>
      </c>
    </row>
    <row r="46" spans="2:14" ht="12.75">
      <c r="B46" s="84" t="s">
        <v>70</v>
      </c>
      <c r="C46" s="16"/>
      <c r="D46" s="86">
        <v>1.06</v>
      </c>
      <c r="E46" s="86">
        <v>1</v>
      </c>
      <c r="F46" s="86">
        <v>1.66</v>
      </c>
      <c r="G46" s="38"/>
      <c r="H46" s="86">
        <v>3.19</v>
      </c>
      <c r="I46" s="86">
        <v>2.76</v>
      </c>
      <c r="J46" s="86">
        <v>2.54</v>
      </c>
      <c r="K46" s="38"/>
      <c r="L46" s="87">
        <v>1.53</v>
      </c>
      <c r="M46" s="87">
        <v>1.43</v>
      </c>
      <c r="N46" s="87">
        <v>1.61</v>
      </c>
    </row>
    <row r="47" spans="2:14" ht="12.75">
      <c r="B47" s="88" t="s">
        <v>81</v>
      </c>
      <c r="C47" s="16"/>
      <c r="D47" s="87">
        <v>2.37</v>
      </c>
      <c r="E47" s="87">
        <v>2.37</v>
      </c>
      <c r="F47" s="87">
        <v>2.56</v>
      </c>
      <c r="G47" s="14"/>
      <c r="H47" s="87">
        <v>3.51</v>
      </c>
      <c r="I47" s="87">
        <v>3.03</v>
      </c>
      <c r="J47" s="87">
        <v>2.79</v>
      </c>
      <c r="K47" s="14"/>
      <c r="L47" s="87">
        <v>0.45</v>
      </c>
      <c r="M47" s="87">
        <v>0.45</v>
      </c>
      <c r="N47" s="87">
        <v>0.45</v>
      </c>
    </row>
    <row r="48" spans="2:14" ht="12.75">
      <c r="B48" s="88" t="s">
        <v>77</v>
      </c>
      <c r="C48" s="16"/>
      <c r="D48" s="87">
        <v>1.32</v>
      </c>
      <c r="E48" s="87">
        <v>1.34</v>
      </c>
      <c r="F48" s="87">
        <v>1.68</v>
      </c>
      <c r="G48" s="22"/>
      <c r="H48" s="87">
        <v>3.95</v>
      </c>
      <c r="I48" s="87">
        <v>3.25</v>
      </c>
      <c r="J48" s="87">
        <v>2.9</v>
      </c>
      <c r="K48" s="22"/>
      <c r="L48" s="87">
        <v>2.31</v>
      </c>
      <c r="M48" s="87">
        <v>2.39</v>
      </c>
      <c r="N48" s="87">
        <v>2.8</v>
      </c>
    </row>
    <row r="49" spans="2:14" ht="12.75">
      <c r="B49" s="88" t="s">
        <v>78</v>
      </c>
      <c r="C49" s="16"/>
      <c r="D49" s="87">
        <v>1.24</v>
      </c>
      <c r="E49" s="87">
        <v>0.99</v>
      </c>
      <c r="F49" s="87">
        <v>0.95</v>
      </c>
      <c r="G49" s="22"/>
      <c r="H49" s="87">
        <v>3.12</v>
      </c>
      <c r="I49" s="87">
        <v>2.19</v>
      </c>
      <c r="J49" s="87">
        <v>2.06</v>
      </c>
      <c r="K49" s="22"/>
      <c r="L49" s="87">
        <v>0.93</v>
      </c>
      <c r="M49" s="87">
        <v>0.78</v>
      </c>
      <c r="N49" s="87">
        <v>0.83</v>
      </c>
    </row>
    <row r="50" spans="2:14" ht="12.75">
      <c r="B50" s="84" t="s">
        <v>60</v>
      </c>
      <c r="C50" s="16"/>
      <c r="D50" s="85">
        <v>0.99</v>
      </c>
      <c r="E50" s="85">
        <v>0.67</v>
      </c>
      <c r="F50" s="85">
        <v>0.82</v>
      </c>
      <c r="G50" s="38"/>
      <c r="H50" s="86">
        <v>4.71</v>
      </c>
      <c r="I50" s="86">
        <v>2.78</v>
      </c>
      <c r="J50" s="86">
        <v>2.58</v>
      </c>
      <c r="K50" s="38"/>
      <c r="L50" s="86">
        <v>1.81</v>
      </c>
      <c r="M50" s="86">
        <v>1.52</v>
      </c>
      <c r="N50" s="86">
        <v>1.62</v>
      </c>
    </row>
    <row r="51" spans="2:14" ht="12.75">
      <c r="B51" s="84" t="s">
        <v>61</v>
      </c>
      <c r="C51" s="17"/>
      <c r="D51" s="85">
        <v>1.93</v>
      </c>
      <c r="E51" s="85">
        <v>1.86</v>
      </c>
      <c r="F51" s="85">
        <v>2.03</v>
      </c>
      <c r="G51" s="38"/>
      <c r="H51" s="86">
        <v>1.87</v>
      </c>
      <c r="I51" s="86">
        <v>1.87</v>
      </c>
      <c r="J51" s="86">
        <v>1.87</v>
      </c>
      <c r="K51" s="38"/>
      <c r="L51" s="86">
        <v>1.8</v>
      </c>
      <c r="M51" s="86">
        <v>1.8</v>
      </c>
      <c r="N51" s="86">
        <v>1.8</v>
      </c>
    </row>
    <row r="52" spans="2:14" ht="12.75">
      <c r="B52" s="84" t="s">
        <v>67</v>
      </c>
      <c r="D52" s="85">
        <v>2.65</v>
      </c>
      <c r="E52" s="85">
        <v>1.87</v>
      </c>
      <c r="F52" s="85">
        <v>1.98</v>
      </c>
      <c r="G52" s="38"/>
      <c r="H52" s="86">
        <v>2.73</v>
      </c>
      <c r="I52" s="86">
        <v>2.73</v>
      </c>
      <c r="J52" s="86">
        <v>2.73</v>
      </c>
      <c r="K52" s="38"/>
      <c r="L52" s="87">
        <v>1.55</v>
      </c>
      <c r="M52" s="87">
        <v>1.44</v>
      </c>
      <c r="N52" s="87">
        <v>1.75</v>
      </c>
    </row>
    <row r="53" spans="2:14" ht="12.75">
      <c r="B53" s="84" t="s">
        <v>63</v>
      </c>
      <c r="D53" s="85">
        <v>1.88</v>
      </c>
      <c r="E53" s="85">
        <v>1.64</v>
      </c>
      <c r="F53" s="85">
        <v>1.99</v>
      </c>
      <c r="G53" s="38"/>
      <c r="H53" s="86">
        <v>3.38</v>
      </c>
      <c r="I53" s="86">
        <v>2.21</v>
      </c>
      <c r="J53" s="86">
        <v>2.06</v>
      </c>
      <c r="K53" s="38"/>
      <c r="L53" s="87">
        <v>3.11</v>
      </c>
      <c r="M53" s="87">
        <v>2.53</v>
      </c>
      <c r="N53" s="87">
        <v>3.31</v>
      </c>
    </row>
  </sheetData>
  <sheetProtection/>
  <mergeCells count="8">
    <mergeCell ref="B2:N2"/>
    <mergeCell ref="B3:N3"/>
    <mergeCell ref="D4:F4"/>
    <mergeCell ref="H4:J4"/>
    <mergeCell ref="L4:N4"/>
    <mergeCell ref="D6:F6"/>
    <mergeCell ref="H6:J6"/>
    <mergeCell ref="L6:N6"/>
  </mergeCells>
  <hyperlinks>
    <hyperlink ref="B3:N3" r:id="rId1" display="Source : http://www.preisvergleiche.preisueberwacher.admin.ch/?l=1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Groupement de Citoyens de Bassins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Aide pour le calcul estimatif des taxes annuelles de la Commune de Bassins</dc:title>
  <dc:subject>Taxe Commune de Bassins</dc:subject>
  <dc:creator>GCB</dc:creator>
  <cp:keywords/>
  <dc:description/>
  <cp:lastModifiedBy>Blaise</cp:lastModifiedBy>
  <cp:lastPrinted>2019-10-24T19:23:59Z</cp:lastPrinted>
  <dcterms:created xsi:type="dcterms:W3CDTF">2016-12-12T07:50:19Z</dcterms:created>
  <dcterms:modified xsi:type="dcterms:W3CDTF">2020-06-29T10:02:20Z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